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2" r:id="rId1"/>
  </sheets>
  <definedNames>
    <definedName name="_xlnm._FilterDatabase" localSheetId="0" hidden="1">Sheet1!$A$3:$X$34</definedName>
    <definedName name="_xlnm.Print_Area" localSheetId="0">Sheet1!$A$1:$T$34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<sst xmlns="http://schemas.openxmlformats.org/spreadsheetml/2006/main" count="84" uniqueCount="76">
  <si>
    <t>阿克陶县2026年8月份财政预算收支执行情况表</t>
  </si>
  <si>
    <t>编制单位： 阿克陶县财政局</t>
  </si>
  <si>
    <t>单位：万元</t>
  </si>
  <si>
    <t>项    目</t>
  </si>
  <si>
    <t>2026年年初预算数</t>
  </si>
  <si>
    <t>2026年预算数-体制改革后</t>
  </si>
  <si>
    <t>上年同期数</t>
  </si>
  <si>
    <t>体制改革后上年同期数</t>
  </si>
  <si>
    <t>累计完成情况</t>
  </si>
  <si>
    <t>比上年同期</t>
  </si>
  <si>
    <t>2026年预算数</t>
  </si>
  <si>
    <t>去年同口径金额</t>
  </si>
  <si>
    <t>占预算%</t>
  </si>
  <si>
    <t>体制改革后金额</t>
  </si>
  <si>
    <t>去年同口径增减额</t>
  </si>
  <si>
    <t>增减%</t>
  </si>
  <si>
    <t>体制改革后增减额</t>
  </si>
  <si>
    <t>金额</t>
  </si>
  <si>
    <t>增减额</t>
  </si>
  <si>
    <t>收入总计</t>
  </si>
  <si>
    <t>支出总计</t>
  </si>
  <si>
    <t>一般公共预算收入合计</t>
  </si>
  <si>
    <t>一般公共预算支出合计</t>
  </si>
  <si>
    <t>税收收入小计</t>
  </si>
  <si>
    <t>一、一般公共服务</t>
  </si>
  <si>
    <t>一、增值税</t>
  </si>
  <si>
    <t>二、外交</t>
  </si>
  <si>
    <t>二、企业所得税</t>
  </si>
  <si>
    <t>三、国防</t>
  </si>
  <si>
    <t>三、个人所得税</t>
  </si>
  <si>
    <t>四、公共安全</t>
  </si>
  <si>
    <t>四、资源税</t>
  </si>
  <si>
    <t>五、教育</t>
  </si>
  <si>
    <t>五、城市维护建设税</t>
  </si>
  <si>
    <t>六、科学技术</t>
  </si>
  <si>
    <t>六、房产税</t>
  </si>
  <si>
    <t>七、文化体育与传媒</t>
  </si>
  <si>
    <t>七、印花税</t>
  </si>
  <si>
    <t>八、社会保障和就业</t>
  </si>
  <si>
    <t>八、城镇土地使用税</t>
  </si>
  <si>
    <t>九、卫生健康支出</t>
  </si>
  <si>
    <t>九、土地增值税</t>
  </si>
  <si>
    <t>十、节能环保支出</t>
  </si>
  <si>
    <t>十、车船税</t>
  </si>
  <si>
    <t>十一、城乡社区事务</t>
  </si>
  <si>
    <t>十一、耕地占用税</t>
  </si>
  <si>
    <t>十二、农林水事务</t>
  </si>
  <si>
    <t>十二、契税</t>
  </si>
  <si>
    <t>十三、交通运输</t>
  </si>
  <si>
    <t>十三、烟叶税</t>
  </si>
  <si>
    <t>十四、资源勘探电力信息等事务</t>
  </si>
  <si>
    <t>十四、环境保护税</t>
  </si>
  <si>
    <t>十五、商业服务业等事务</t>
  </si>
  <si>
    <t>十五、其他税收收入</t>
  </si>
  <si>
    <t>十六、金融支出</t>
  </si>
  <si>
    <t>十七、援助其他地区支出</t>
  </si>
  <si>
    <t>非税收入小计</t>
  </si>
  <si>
    <t>十八、自然资源海洋气象等支出</t>
  </si>
  <si>
    <t>一、专项收入</t>
  </si>
  <si>
    <t>十九、住房保障支出</t>
  </si>
  <si>
    <t>二、行政事业性收费收入</t>
  </si>
  <si>
    <t>二十、粮油物资储备管理事务</t>
  </si>
  <si>
    <t>三、罚没收入</t>
  </si>
  <si>
    <t>二十一、灾害防治及应急管理支出</t>
  </si>
  <si>
    <t>四、国有资产经营收入</t>
  </si>
  <si>
    <t>二十二、其他支出</t>
  </si>
  <si>
    <t>五、国有资源（资产）有偿使用收入</t>
  </si>
  <si>
    <t>二十三、债务付息支出</t>
  </si>
  <si>
    <t>六、捐赠收入</t>
  </si>
  <si>
    <t>二十四、债务发行费用支出</t>
  </si>
  <si>
    <t>七、其他收入</t>
  </si>
  <si>
    <t>二十五、预备费</t>
  </si>
  <si>
    <t>政府性基金预算收入合计</t>
  </si>
  <si>
    <t>国有资本经营预算收入</t>
  </si>
  <si>
    <t>政府性基金预算支出合计</t>
  </si>
  <si>
    <t>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</si>
</sst>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 ;[Red]\-0\ "/>
    <numFmt numFmtId="178" formatCode="0_);[Red]\(0\)"/>
    <numFmt numFmtId="179" formatCode="0.0%"/>
  </numFmts>
  <fonts count="35">
    <font>
      <sz val="12"/>
      <name val="宋体"/>
      <charset val="134"/>
    </font>
    <font>
      <b/>
      <sz val="24"/>
      <name val="黑体"/>
      <charset val="134"/>
    </font>
    <font>
      <b/>
      <sz val="22"/>
      <name val="宋体-18030"/>
      <charset val="134"/>
    </font>
    <font>
      <b/>
      <sz val="12"/>
      <name val="宋体-18030"/>
      <charset val="134"/>
    </font>
    <font>
      <b/>
      <sz val="11"/>
      <name val="宋体-18030"/>
      <charset val="134"/>
    </font>
    <font>
      <b/>
      <sz val="14"/>
      <name val="宋体-18030"/>
      <charset val="134"/>
    </font>
    <font>
      <b/>
      <sz val="12"/>
      <name val="华文中宋"/>
      <charset val="134"/>
    </font>
    <font>
      <b/>
      <sz val="11"/>
      <name val="华文中宋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sz val="12"/>
      <name val="华文中宋"/>
      <charset val="134"/>
    </font>
    <font>
      <sz val="12"/>
      <color rgb="FF000000"/>
      <name val="Times New Roman"/>
      <charset val="134"/>
    </font>
    <font>
      <b/>
      <sz val="12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/>
  </cellStyleXfs>
  <cellXfs count="8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10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 applyFill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0" fontId="0" fillId="0" borderId="0" xfId="0" applyNumberFormat="1" applyFill="1" applyAlignment="1">
      <alignment horizontal="center" vertical="center"/>
    </xf>
    <xf numFmtId="0" fontId="0" fillId="0" borderId="0" xfId="0" applyNumberFormat="1" applyFill="1">
      <alignment vertical="center"/>
    </xf>
    <xf numFmtId="0" fontId="1" fillId="0" borderId="0" xfId="49" applyFont="1" applyFill="1" applyBorder="1" applyAlignment="1">
      <alignment horizontal="center" vertical="top"/>
    </xf>
    <xf numFmtId="10" fontId="1" fillId="0" borderId="0" xfId="49" applyNumberFormat="1" applyFont="1" applyFill="1" applyBorder="1" applyAlignment="1">
      <alignment horizontal="center" vertical="top"/>
    </xf>
    <xf numFmtId="0" fontId="1" fillId="0" borderId="0" xfId="49" applyFont="1" applyFill="1" applyBorder="1" applyAlignment="1">
      <alignment horizontal="center" vertical="center"/>
    </xf>
    <xf numFmtId="10" fontId="1" fillId="0" borderId="0" xfId="49" applyNumberFormat="1" applyFont="1" applyFill="1" applyBorder="1" applyAlignment="1">
      <alignment horizontal="center" vertical="center"/>
    </xf>
    <xf numFmtId="0" fontId="2" fillId="0" borderId="0" xfId="49" applyNumberFormat="1" applyFont="1" applyFill="1" applyBorder="1" applyAlignment="1">
      <alignment horizontal="center"/>
    </xf>
    <xf numFmtId="0" fontId="3" fillId="0" borderId="0" xfId="49" applyFont="1" applyFill="1" applyBorder="1" applyAlignment="1"/>
    <xf numFmtId="0" fontId="4" fillId="0" borderId="0" xfId="49" applyFont="1" applyFill="1" applyBorder="1" applyAlignment="1"/>
    <xf numFmtId="10" fontId="5" fillId="0" borderId="0" xfId="49" applyNumberFormat="1" applyFont="1" applyFill="1" applyBorder="1" applyAlignment="1"/>
    <xf numFmtId="176" fontId="4" fillId="0" borderId="0" xfId="49" applyNumberFormat="1" applyFont="1" applyFill="1" applyBorder="1" applyAlignment="1"/>
    <xf numFmtId="10" fontId="4" fillId="0" borderId="0" xfId="49" applyNumberFormat="1" applyFont="1" applyFill="1" applyBorder="1" applyAlignment="1"/>
    <xf numFmtId="176" fontId="4" fillId="0" borderId="0" xfId="49" applyNumberFormat="1" applyFont="1" applyFill="1" applyBorder="1" applyAlignment="1">
      <alignment vertical="center"/>
    </xf>
    <xf numFmtId="0" fontId="3" fillId="0" borderId="0" xfId="49" applyFont="1" applyFill="1" applyBorder="1" applyAlignment="1">
      <alignment horizontal="center" vertical="center"/>
    </xf>
    <xf numFmtId="176" fontId="3" fillId="0" borderId="0" xfId="49" applyNumberFormat="1" applyFont="1" applyFill="1" applyBorder="1" applyAlignment="1">
      <alignment horizontal="center" vertical="center"/>
    </xf>
    <xf numFmtId="0" fontId="4" fillId="0" borderId="0" xfId="49" applyNumberFormat="1" applyFont="1" applyFill="1" applyBorder="1" applyAlignment="1"/>
    <xf numFmtId="0" fontId="6" fillId="0" borderId="1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 vertical="center"/>
    </xf>
    <xf numFmtId="0" fontId="6" fillId="0" borderId="4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10" fontId="6" fillId="0" borderId="1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vertical="center" wrapText="1"/>
    </xf>
    <xf numFmtId="10" fontId="6" fillId="0" borderId="1" xfId="49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7" fillId="0" borderId="0" xfId="49" applyNumberFormat="1" applyFont="1" applyFill="1" applyBorder="1" applyAlignment="1">
      <alignment horizontal="center" vertical="center" wrapText="1"/>
    </xf>
    <xf numFmtId="41" fontId="8" fillId="0" borderId="1" xfId="49" applyNumberFormat="1" applyFont="1" applyFill="1" applyBorder="1" applyAlignment="1">
      <alignment vertical="center" wrapText="1"/>
    </xf>
    <xf numFmtId="10" fontId="8" fillId="0" borderId="1" xfId="49" applyNumberFormat="1" applyFont="1" applyFill="1" applyBorder="1" applyAlignment="1">
      <alignment vertical="center" wrapText="1"/>
    </xf>
    <xf numFmtId="177" fontId="8" fillId="0" borderId="1" xfId="49" applyNumberFormat="1" applyFont="1" applyFill="1" applyBorder="1" applyAlignment="1">
      <alignment vertical="center" wrapText="1"/>
    </xf>
    <xf numFmtId="10" fontId="8" fillId="0" borderId="1" xfId="0" applyNumberFormat="1" applyFont="1" applyFill="1" applyBorder="1" applyAlignment="1">
      <alignment horizontal="right" vertical="center" wrapText="1"/>
    </xf>
    <xf numFmtId="41" fontId="9" fillId="0" borderId="1" xfId="49" applyNumberFormat="1" applyFont="1" applyFill="1" applyBorder="1" applyAlignment="1">
      <alignment horizontal="center" vertical="center" wrapText="1"/>
    </xf>
    <xf numFmtId="41" fontId="9" fillId="0" borderId="1" xfId="49" applyNumberFormat="1" applyFont="1" applyFill="1" applyBorder="1" applyAlignment="1">
      <alignment vertical="center" wrapText="1"/>
    </xf>
    <xf numFmtId="10" fontId="9" fillId="0" borderId="1" xfId="49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0" xfId="49" applyNumberFormat="1" applyFont="1" applyFill="1" applyBorder="1" applyAlignment="1">
      <alignment wrapText="1"/>
    </xf>
    <xf numFmtId="0" fontId="6" fillId="0" borderId="1" xfId="49" applyFont="1" applyFill="1" applyBorder="1" applyAlignment="1">
      <alignment horizontal="center"/>
    </xf>
    <xf numFmtId="178" fontId="0" fillId="0" borderId="0" xfId="0" applyNumberFormat="1" applyFill="1">
      <alignment vertical="center"/>
    </xf>
    <xf numFmtId="0" fontId="11" fillId="0" borderId="1" xfId="49" applyFont="1" applyFill="1" applyBorder="1"/>
    <xf numFmtId="41" fontId="12" fillId="0" borderId="5" xfId="0" applyNumberFormat="1" applyFont="1" applyFill="1" applyBorder="1" applyAlignment="1">
      <alignment horizontal="center" vertical="center"/>
    </xf>
    <xf numFmtId="3" fontId="9" fillId="0" borderId="1" xfId="49" applyNumberFormat="1" applyFont="1" applyFill="1" applyBorder="1" applyAlignment="1" applyProtection="1">
      <alignment vertical="center"/>
    </xf>
    <xf numFmtId="41" fontId="9" fillId="0" borderId="1" xfId="49" applyNumberFormat="1" applyFont="1" applyFill="1" applyBorder="1" applyAlignment="1" applyProtection="1">
      <alignment vertical="center"/>
    </xf>
    <xf numFmtId="41" fontId="9" fillId="0" borderId="1" xfId="49" applyNumberFormat="1" applyFont="1" applyFill="1" applyBorder="1" applyAlignment="1" applyProtection="1">
      <alignment vertical="center" wrapText="1"/>
    </xf>
    <xf numFmtId="10" fontId="9" fillId="0" borderId="1" xfId="49" applyNumberFormat="1" applyFont="1" applyFill="1" applyBorder="1" applyAlignment="1">
      <alignment vertical="center" wrapText="1"/>
    </xf>
    <xf numFmtId="177" fontId="9" fillId="0" borderId="1" xfId="49" applyNumberFormat="1" applyFont="1" applyFill="1" applyBorder="1" applyAlignment="1">
      <alignment vertical="center" wrapText="1"/>
    </xf>
    <xf numFmtId="10" fontId="9" fillId="0" borderId="1" xfId="0" applyNumberFormat="1" applyFont="1" applyFill="1" applyBorder="1" applyAlignment="1">
      <alignment horizontal="right" vertical="center" wrapText="1"/>
    </xf>
    <xf numFmtId="41" fontId="9" fillId="0" borderId="1" xfId="0" applyNumberFormat="1" applyFont="1" applyFill="1" applyBorder="1" applyAlignment="1" applyProtection="1">
      <alignment horizontal="center" vertical="center" wrapText="1"/>
    </xf>
    <xf numFmtId="41" fontId="9" fillId="0" borderId="1" xfId="49" applyNumberFormat="1" applyFont="1" applyBorder="1" applyAlignment="1" applyProtection="1">
      <alignment vertical="center"/>
    </xf>
    <xf numFmtId="178" fontId="10" fillId="0" borderId="0" xfId="49" applyNumberFormat="1" applyFont="1" applyFill="1" applyBorder="1" applyAlignment="1">
      <alignment wrapText="1"/>
    </xf>
    <xf numFmtId="41" fontId="9" fillId="0" borderId="6" xfId="0" applyNumberFormat="1" applyFont="1" applyFill="1" applyBorder="1" applyAlignment="1" applyProtection="1">
      <alignment horizontal="center" vertical="center" wrapText="1"/>
    </xf>
    <xf numFmtId="177" fontId="9" fillId="0" borderId="1" xfId="49" applyNumberFormat="1" applyFont="1" applyFill="1" applyBorder="1" applyAlignment="1">
      <alignment horizontal="center" vertical="center" wrapText="1"/>
    </xf>
    <xf numFmtId="41" fontId="9" fillId="0" borderId="1" xfId="0" applyNumberFormat="1" applyFont="1" applyFill="1" applyBorder="1" applyAlignment="1">
      <alignment vertical="center" wrapText="1"/>
    </xf>
    <xf numFmtId="0" fontId="11" fillId="0" borderId="5" xfId="49" applyFont="1" applyFill="1" applyBorder="1"/>
    <xf numFmtId="41" fontId="9" fillId="0" borderId="1" xfId="0" applyNumberFormat="1" applyFont="1" applyFill="1" applyBorder="1" applyAlignment="1">
      <alignment vertical="center"/>
    </xf>
    <xf numFmtId="3" fontId="9" fillId="0" borderId="1" xfId="49" applyNumberFormat="1" applyFont="1" applyFill="1" applyBorder="1" applyAlignment="1" applyProtection="1">
      <alignment vertical="center" wrapText="1"/>
    </xf>
    <xf numFmtId="0" fontId="11" fillId="0" borderId="1" xfId="49" applyFont="1" applyFill="1" applyBorder="1" applyAlignment="1">
      <alignment horizontal="left"/>
    </xf>
    <xf numFmtId="178" fontId="9" fillId="0" borderId="1" xfId="49" applyNumberFormat="1" applyFont="1" applyFill="1" applyBorder="1" applyAlignment="1" applyProtection="1">
      <alignment vertical="center" wrapText="1"/>
    </xf>
    <xf numFmtId="0" fontId="9" fillId="0" borderId="1" xfId="49" applyFont="1" applyFill="1" applyBorder="1" applyAlignment="1" applyProtection="1">
      <alignment vertical="center" wrapText="1"/>
    </xf>
    <xf numFmtId="0" fontId="9" fillId="0" borderId="0" xfId="0" applyFont="1" applyFill="1" applyAlignment="1">
      <alignment horizontal="center" vertical="center"/>
    </xf>
    <xf numFmtId="0" fontId="0" fillId="0" borderId="1" xfId="0" applyFont="1" applyFill="1" applyBorder="1">
      <alignment vertical="center"/>
    </xf>
    <xf numFmtId="41" fontId="9" fillId="0" borderId="1" xfId="49" applyNumberFormat="1" applyFont="1" applyFill="1" applyBorder="1" applyAlignment="1" applyProtection="1">
      <alignment horizontal="center" vertical="center" wrapText="1"/>
    </xf>
    <xf numFmtId="41" fontId="9" fillId="0" borderId="1" xfId="1" applyNumberFormat="1" applyFont="1" applyFill="1" applyBorder="1" applyAlignment="1">
      <alignment horizontal="center" vertical="center" wrapText="1"/>
    </xf>
    <xf numFmtId="41" fontId="9" fillId="0" borderId="1" xfId="1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176" fontId="9" fillId="0" borderId="1" xfId="49" applyNumberFormat="1" applyFont="1" applyFill="1" applyBorder="1" applyAlignment="1">
      <alignment vertical="center" wrapText="1"/>
    </xf>
    <xf numFmtId="41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10" fontId="8" fillId="0" borderId="0" xfId="0" applyNumberFormat="1" applyFont="1" applyBorder="1" applyAlignment="1">
      <alignment horizontal="center" vertical="center"/>
    </xf>
    <xf numFmtId="179" fontId="8" fillId="0" borderId="0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/>
    </xf>
    <xf numFmtId="0" fontId="14" fillId="0" borderId="0" xfId="0" applyFont="1" applyFill="1">
      <alignment vertical="center"/>
    </xf>
    <xf numFmtId="10" fontId="0" fillId="0" borderId="0" xfId="0" applyNumberFormat="1" applyFill="1" applyBorder="1">
      <alignment vertical="center"/>
    </xf>
    <xf numFmtId="176" fontId="0" fillId="0" borderId="0" xfId="0" applyNumberFormat="1" applyFill="1" applyBorder="1">
      <alignment vertical="center"/>
    </xf>
    <xf numFmtId="176" fontId="0" fillId="0" borderId="0" xfId="0" applyNumberForma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38"/>
  <sheetViews>
    <sheetView showGridLines="0" showZeros="0" tabSelected="1" workbookViewId="0">
      <pane xSplit="1" ySplit="1" topLeftCell="B4" activePane="bottomRight" state="frozen"/>
      <selection/>
      <selection pane="topRight"/>
      <selection pane="bottomLeft"/>
      <selection pane="bottomRight" activeCell="O15" sqref="O15"/>
    </sheetView>
  </sheetViews>
  <sheetFormatPr defaultColWidth="9" defaultRowHeight="15.75"/>
  <cols>
    <col min="1" max="1" width="28" style="1" customWidth="1"/>
    <col min="2" max="2" width="11.875" style="1" customWidth="1"/>
    <col min="3" max="3" width="12.375" style="1" customWidth="1"/>
    <col min="4" max="4" width="10.125" style="1" customWidth="1"/>
    <col min="5" max="5" width="9.625" style="1" customWidth="1"/>
    <col min="6" max="6" width="9.875" style="2" customWidth="1"/>
    <col min="7" max="7" width="9" style="3"/>
    <col min="8" max="8" width="10" style="2" customWidth="1"/>
    <col min="9" max="9" width="9.375" style="3"/>
    <col min="10" max="10" width="10.375" style="4" customWidth="1"/>
    <col min="11" max="11" width="10.25" style="3" customWidth="1"/>
    <col min="12" max="12" width="8.33333333333333" style="5" customWidth="1"/>
    <col min="13" max="13" width="13.25" style="3" customWidth="1"/>
    <col min="14" max="14" width="32" style="1" customWidth="1"/>
    <col min="15" max="15" width="10.875" style="6" customWidth="1"/>
    <col min="16" max="16" width="10.125" style="1" customWidth="1"/>
    <col min="17" max="17" width="11.25" style="1" customWidth="1"/>
    <col min="18" max="18" width="11.25" style="3" customWidth="1"/>
    <col min="19" max="19" width="12" style="7" customWidth="1"/>
    <col min="20" max="20" width="10.875" style="8" customWidth="1"/>
    <col min="21" max="21" width="10.0833333333333" style="9" customWidth="1"/>
    <col min="22" max="22" width="3.25" style="1" customWidth="1"/>
    <col min="23" max="23" width="12.75" style="1" customWidth="1"/>
    <col min="24" max="24" width="11.25" style="1" customWidth="1"/>
    <col min="25" max="16384" width="9" style="1"/>
  </cols>
  <sheetData>
    <row r="1" ht="30" spans="1:24">
      <c r="A1" s="10" t="s">
        <v>0</v>
      </c>
      <c r="B1" s="10"/>
      <c r="C1" s="10"/>
      <c r="D1" s="10"/>
      <c r="E1" s="10"/>
      <c r="F1" s="10"/>
      <c r="G1" s="11"/>
      <c r="H1" s="10"/>
      <c r="I1" s="11"/>
      <c r="J1" s="10"/>
      <c r="K1" s="11"/>
      <c r="L1" s="12"/>
      <c r="M1" s="11"/>
      <c r="N1" s="10"/>
      <c r="O1" s="12"/>
      <c r="P1" s="10"/>
      <c r="Q1" s="10"/>
      <c r="R1" s="11"/>
      <c r="S1" s="12"/>
      <c r="T1" s="13"/>
      <c r="U1" s="14"/>
    </row>
    <row r="2" ht="20.25" spans="1:24">
      <c r="A2" s="15" t="s">
        <v>1</v>
      </c>
      <c r="B2" s="16"/>
      <c r="C2" s="16"/>
      <c r="D2" s="16"/>
      <c r="E2" s="16"/>
      <c r="F2" s="16"/>
      <c r="G2" s="17"/>
      <c r="H2" s="16"/>
      <c r="I2" s="17"/>
      <c r="J2" s="18"/>
      <c r="K2" s="19"/>
      <c r="L2" s="20"/>
      <c r="M2" s="19"/>
      <c r="N2" s="15"/>
      <c r="O2" s="21"/>
      <c r="P2" s="16"/>
      <c r="Q2" s="16"/>
      <c r="R2" s="19"/>
      <c r="T2" s="22" t="s">
        <v>2</v>
      </c>
      <c r="U2" s="23"/>
    </row>
    <row r="3" ht="24" customHeight="1" spans="1:24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5" t="s">
        <v>8</v>
      </c>
      <c r="G3" s="26"/>
      <c r="H3" s="26"/>
      <c r="I3" s="27"/>
      <c r="J3" s="25" t="s">
        <v>9</v>
      </c>
      <c r="K3" s="26"/>
      <c r="L3" s="26"/>
      <c r="M3" s="27"/>
      <c r="N3" s="24" t="s">
        <v>3</v>
      </c>
      <c r="O3" s="24" t="s">
        <v>10</v>
      </c>
      <c r="P3" s="24" t="s">
        <v>6</v>
      </c>
      <c r="Q3" s="28" t="s">
        <v>8</v>
      </c>
      <c r="R3" s="29"/>
      <c r="S3" s="28" t="s">
        <v>9</v>
      </c>
      <c r="T3" s="29"/>
      <c r="U3" s="30"/>
    </row>
    <row r="4" ht="58" customHeight="1" spans="1:24">
      <c r="A4" s="24"/>
      <c r="B4" s="24"/>
      <c r="C4" s="24"/>
      <c r="D4" s="24"/>
      <c r="E4" s="24"/>
      <c r="F4" s="31" t="s">
        <v>11</v>
      </c>
      <c r="G4" s="32" t="s">
        <v>12</v>
      </c>
      <c r="H4" s="31" t="s">
        <v>13</v>
      </c>
      <c r="I4" s="32" t="s">
        <v>12</v>
      </c>
      <c r="J4" s="31" t="s">
        <v>14</v>
      </c>
      <c r="K4" s="32" t="s">
        <v>15</v>
      </c>
      <c r="L4" s="33" t="s">
        <v>16</v>
      </c>
      <c r="M4" s="32" t="s">
        <v>15</v>
      </c>
      <c r="N4" s="24"/>
      <c r="O4" s="24"/>
      <c r="P4" s="24"/>
      <c r="Q4" s="24" t="s">
        <v>17</v>
      </c>
      <c r="R4" s="32" t="s">
        <v>12</v>
      </c>
      <c r="S4" s="33" t="s">
        <v>18</v>
      </c>
      <c r="T4" s="32" t="s">
        <v>15</v>
      </c>
      <c r="U4" s="34"/>
    </row>
    <row r="5" ht="22" customHeight="1" spans="1:24">
      <c r="A5" s="24" t="s">
        <v>19</v>
      </c>
      <c r="B5" s="35">
        <f>SUM(B6+B32+B33)</f>
        <v>140839.666666667</v>
      </c>
      <c r="C5" s="35">
        <f t="shared" ref="C5:H5" si="0">SUM(C6+C32+C33)</f>
        <v>108756</v>
      </c>
      <c r="D5" s="35">
        <f t="shared" si="0"/>
        <v>62529</v>
      </c>
      <c r="E5" s="35">
        <f t="shared" si="0"/>
        <v>45235</v>
      </c>
      <c r="F5" s="35">
        <f t="shared" si="0"/>
        <v>70277</v>
      </c>
      <c r="G5" s="36">
        <f>F5/B5</f>
        <v>0.498985844423564</v>
      </c>
      <c r="H5" s="35">
        <f t="shared" si="0"/>
        <v>50133</v>
      </c>
      <c r="I5" s="36">
        <f>H5/C5</f>
        <v>0.4609676707492</v>
      </c>
      <c r="J5" s="37">
        <f>F5-D5</f>
        <v>7748</v>
      </c>
      <c r="K5" s="38">
        <f>J5/D5</f>
        <v>0.123910505525436</v>
      </c>
      <c r="L5" s="37">
        <f>H5-E5</f>
        <v>4898</v>
      </c>
      <c r="M5" s="38">
        <f>L5/E5</f>
        <v>0.108278987509672</v>
      </c>
      <c r="N5" s="28" t="s">
        <v>20</v>
      </c>
      <c r="O5" s="39">
        <f>O6+O33+O34</f>
        <v>498914</v>
      </c>
      <c r="P5" s="40">
        <f>P6+P33+P34</f>
        <v>429674</v>
      </c>
      <c r="Q5" s="40">
        <f>Q6+Q33+Q34</f>
        <v>373476.13</v>
      </c>
      <c r="R5" s="41">
        <f>IF(O5=0,"",Q5/O5)</f>
        <v>0.748578171789126</v>
      </c>
      <c r="S5" s="42">
        <f>S6+S33+S34</f>
        <v>-56197.87</v>
      </c>
      <c r="T5" s="41">
        <f>IF(P5=0,"",S5/P5)</f>
        <v>-0.130791879424866</v>
      </c>
      <c r="U5" s="43"/>
      <c r="X5" s="43"/>
    </row>
    <row r="6" ht="22" customHeight="1" spans="1:24">
      <c r="A6" s="44" t="s">
        <v>21</v>
      </c>
      <c r="B6" s="35">
        <f>B7+B24</f>
        <v>98244.6666666667</v>
      </c>
      <c r="C6" s="35">
        <f t="shared" ref="C6:H6" si="1">C7+C24</f>
        <v>66161</v>
      </c>
      <c r="D6" s="35">
        <f t="shared" si="1"/>
        <v>53784</v>
      </c>
      <c r="E6" s="35">
        <f t="shared" si="1"/>
        <v>36490</v>
      </c>
      <c r="F6" s="35">
        <f t="shared" si="1"/>
        <v>57242</v>
      </c>
      <c r="G6" s="36">
        <f t="shared" ref="G6:G34" si="2">F6/B6</f>
        <v>0.582647404099968</v>
      </c>
      <c r="H6" s="35">
        <f t="shared" si="1"/>
        <v>37098</v>
      </c>
      <c r="I6" s="36">
        <f t="shared" ref="I6:I33" si="3">H6/C6</f>
        <v>0.560723084596666</v>
      </c>
      <c r="J6" s="37">
        <f t="shared" ref="J6:J33" si="4">F6-D6</f>
        <v>3458</v>
      </c>
      <c r="K6" s="38">
        <f t="shared" ref="K6:K33" si="5">J6/D6</f>
        <v>0.0642942138926075</v>
      </c>
      <c r="L6" s="37">
        <f t="shared" ref="L6:L33" si="6">H6-E6</f>
        <v>608</v>
      </c>
      <c r="M6" s="38">
        <f t="shared" ref="M6:M33" si="7">L6/E6</f>
        <v>0.0166620992052617</v>
      </c>
      <c r="N6" s="44" t="s">
        <v>22</v>
      </c>
      <c r="O6" s="39">
        <f>SUM(O7:O31)</f>
        <v>433689</v>
      </c>
      <c r="P6" s="40">
        <f>SUM(P7:P31)</f>
        <v>356249</v>
      </c>
      <c r="Q6" s="40">
        <f>SUM(Q7:Q31)</f>
        <v>317491.13</v>
      </c>
      <c r="R6" s="41">
        <f>IF(O6=0,"",Q6/O6)</f>
        <v>0.732070977128772</v>
      </c>
      <c r="S6" s="42">
        <f>SUM(S7:S30)</f>
        <v>-38757.87</v>
      </c>
      <c r="T6" s="41">
        <f t="shared" ref="T6:T37" si="8">IF(P6=0,"",S6/P6)</f>
        <v>-0.108794326440215</v>
      </c>
      <c r="U6" s="43"/>
      <c r="W6" s="45"/>
      <c r="X6" s="43"/>
    </row>
    <row r="7" ht="22" customHeight="1" spans="1:24">
      <c r="A7" s="44" t="s">
        <v>23</v>
      </c>
      <c r="B7" s="35">
        <f>SUM(B8:B22)</f>
        <v>64810</v>
      </c>
      <c r="C7" s="35">
        <f t="shared" ref="C7:H7" si="9">SUM(C8:C22)</f>
        <v>39697</v>
      </c>
      <c r="D7" s="35">
        <f t="shared" si="9"/>
        <v>23777</v>
      </c>
      <c r="E7" s="35">
        <f t="shared" si="9"/>
        <v>13279</v>
      </c>
      <c r="F7" s="35">
        <f t="shared" si="9"/>
        <v>32304</v>
      </c>
      <c r="G7" s="36">
        <f t="shared" si="2"/>
        <v>0.498441598518747</v>
      </c>
      <c r="H7" s="35">
        <f>SUM(H8:H22)</f>
        <v>18564</v>
      </c>
      <c r="I7" s="36">
        <f t="shared" si="3"/>
        <v>0.467642391112679</v>
      </c>
      <c r="J7" s="37">
        <f t="shared" si="4"/>
        <v>8527</v>
      </c>
      <c r="K7" s="38">
        <f t="shared" si="5"/>
        <v>0.358623880220381</v>
      </c>
      <c r="L7" s="37">
        <f t="shared" si="6"/>
        <v>5285</v>
      </c>
      <c r="M7" s="38">
        <f t="shared" si="7"/>
        <v>0.397996837111228</v>
      </c>
      <c r="N7" s="46" t="s">
        <v>24</v>
      </c>
      <c r="O7" s="47">
        <v>59037</v>
      </c>
      <c r="P7" s="48">
        <v>50225</v>
      </c>
      <c r="Q7" s="49">
        <v>43552</v>
      </c>
      <c r="R7" s="41">
        <f>IF(O7=0,"",Q7/O7)</f>
        <v>0.737706861798533</v>
      </c>
      <c r="S7" s="42">
        <f>Q7-P7</f>
        <v>-6673</v>
      </c>
      <c r="T7" s="41">
        <f t="shared" si="8"/>
        <v>-0.132862120457939</v>
      </c>
      <c r="U7" s="43"/>
      <c r="X7" s="43"/>
    </row>
    <row r="8" ht="22" customHeight="1" spans="1:24">
      <c r="A8" s="46" t="s">
        <v>25</v>
      </c>
      <c r="B8" s="50">
        <f>(C8/0.25)*0.5-5300</f>
        <v>21224</v>
      </c>
      <c r="C8" s="50">
        <v>13262</v>
      </c>
      <c r="D8" s="50">
        <f>E8+3477+862+288-425</f>
        <v>8172</v>
      </c>
      <c r="E8" s="50">
        <v>3970</v>
      </c>
      <c r="F8" s="50">
        <f>H8+4617+1082-431</f>
        <v>10540</v>
      </c>
      <c r="G8" s="51">
        <f t="shared" si="2"/>
        <v>0.496607614021862</v>
      </c>
      <c r="H8" s="50">
        <v>5272</v>
      </c>
      <c r="I8" s="51">
        <f t="shared" si="3"/>
        <v>0.397526768209923</v>
      </c>
      <c r="J8" s="52">
        <f t="shared" si="4"/>
        <v>2368</v>
      </c>
      <c r="K8" s="53">
        <f t="shared" si="5"/>
        <v>0.289769946157611</v>
      </c>
      <c r="L8" s="52">
        <f t="shared" si="6"/>
        <v>1302</v>
      </c>
      <c r="M8" s="53">
        <f t="shared" si="7"/>
        <v>0.327959697732997</v>
      </c>
      <c r="N8" s="46" t="s">
        <v>26</v>
      </c>
      <c r="O8" s="54">
        <v>0</v>
      </c>
      <c r="P8" s="48">
        <v>0</v>
      </c>
      <c r="Q8" s="55">
        <v>0</v>
      </c>
      <c r="R8" s="41" t="str">
        <f t="shared" ref="R8:R37" si="10">IF(O8=0,"",Q8/O8)</f>
        <v/>
      </c>
      <c r="S8" s="42">
        <f t="shared" ref="S8:S37" si="11">Q8-P8</f>
        <v>0</v>
      </c>
      <c r="T8" s="41" t="str">
        <f t="shared" si="8"/>
        <v/>
      </c>
      <c r="U8" s="56"/>
      <c r="W8" s="45"/>
      <c r="X8" s="43"/>
    </row>
    <row r="9" ht="22" customHeight="1" spans="1:24">
      <c r="A9" s="46" t="s">
        <v>27</v>
      </c>
      <c r="B9" s="50">
        <f>(C9/0.15)*0.4</f>
        <v>14816</v>
      </c>
      <c r="C9" s="50">
        <v>5556</v>
      </c>
      <c r="D9" s="50">
        <f>E9+3022+756</f>
        <v>6045</v>
      </c>
      <c r="E9" s="40">
        <v>2267</v>
      </c>
      <c r="F9" s="40">
        <f>H9+3090+772</f>
        <v>6180</v>
      </c>
      <c r="G9" s="51">
        <f t="shared" si="2"/>
        <v>0.417116630669546</v>
      </c>
      <c r="H9" s="40">
        <v>2318</v>
      </c>
      <c r="I9" s="51">
        <f t="shared" si="3"/>
        <v>0.417206623470122</v>
      </c>
      <c r="J9" s="52">
        <f t="shared" si="4"/>
        <v>135</v>
      </c>
      <c r="K9" s="53">
        <f t="shared" si="5"/>
        <v>0.0223325062034739</v>
      </c>
      <c r="L9" s="52">
        <f t="shared" si="6"/>
        <v>51</v>
      </c>
      <c r="M9" s="53">
        <f t="shared" si="7"/>
        <v>0.0224966916629907</v>
      </c>
      <c r="N9" s="46" t="s">
        <v>28</v>
      </c>
      <c r="O9" s="57">
        <v>53</v>
      </c>
      <c r="P9" s="48">
        <v>86</v>
      </c>
      <c r="Q9" s="55">
        <v>533</v>
      </c>
      <c r="R9" s="41">
        <f t="shared" si="10"/>
        <v>10.0566037735849</v>
      </c>
      <c r="S9" s="42">
        <f t="shared" si="11"/>
        <v>447</v>
      </c>
      <c r="T9" s="41">
        <f t="shared" si="8"/>
        <v>5.19767441860465</v>
      </c>
      <c r="U9" s="43"/>
      <c r="X9"/>
    </row>
    <row r="10" ht="22" customHeight="1" spans="1:24">
      <c r="A10" s="46" t="s">
        <v>29</v>
      </c>
      <c r="B10" s="50">
        <f>(C10/0.15)*0.4</f>
        <v>9080</v>
      </c>
      <c r="C10" s="50">
        <v>3405</v>
      </c>
      <c r="D10" s="50">
        <f>E10+355+89</f>
        <v>710</v>
      </c>
      <c r="E10" s="50">
        <v>266</v>
      </c>
      <c r="F10" s="40">
        <f>H10+1443+361</f>
        <v>2886</v>
      </c>
      <c r="G10" s="51">
        <f t="shared" si="2"/>
        <v>0.31784140969163</v>
      </c>
      <c r="H10" s="40">
        <v>1082</v>
      </c>
      <c r="I10" s="51">
        <f t="shared" si="3"/>
        <v>0.31776798825257</v>
      </c>
      <c r="J10" s="52">
        <f t="shared" si="4"/>
        <v>2176</v>
      </c>
      <c r="K10" s="53">
        <f t="shared" si="5"/>
        <v>3.06478873239437</v>
      </c>
      <c r="L10" s="52">
        <f t="shared" si="6"/>
        <v>816</v>
      </c>
      <c r="M10" s="53">
        <f t="shared" si="7"/>
        <v>3.06766917293233</v>
      </c>
      <c r="N10" s="46" t="s">
        <v>30</v>
      </c>
      <c r="O10" s="54">
        <v>38143</v>
      </c>
      <c r="P10" s="48">
        <v>27780</v>
      </c>
      <c r="Q10" s="55">
        <v>29058</v>
      </c>
      <c r="R10" s="41">
        <f t="shared" si="10"/>
        <v>0.761817371470519</v>
      </c>
      <c r="S10" s="42">
        <f t="shared" si="11"/>
        <v>1278</v>
      </c>
      <c r="T10" s="41">
        <f t="shared" si="8"/>
        <v>0.0460043196544276</v>
      </c>
      <c r="U10" s="43"/>
      <c r="X10"/>
    </row>
    <row r="11" ht="22" customHeight="1" spans="1:24">
      <c r="A11" s="46" t="s">
        <v>31</v>
      </c>
      <c r="B11" s="50">
        <f>C11*2-4057</f>
        <v>8489</v>
      </c>
      <c r="C11" s="50">
        <v>6273</v>
      </c>
      <c r="D11" s="50">
        <f>E11+2074</f>
        <v>4148</v>
      </c>
      <c r="E11" s="50">
        <v>2074</v>
      </c>
      <c r="F11" s="50">
        <f>H11+2806</f>
        <v>5608</v>
      </c>
      <c r="G11" s="51">
        <f t="shared" si="2"/>
        <v>0.660619625397573</v>
      </c>
      <c r="H11" s="50">
        <v>2802</v>
      </c>
      <c r="I11" s="51">
        <f t="shared" si="3"/>
        <v>0.446676231468197</v>
      </c>
      <c r="J11" s="52">
        <f t="shared" si="4"/>
        <v>1460</v>
      </c>
      <c r="K11" s="53">
        <f t="shared" si="5"/>
        <v>0.351976856316297</v>
      </c>
      <c r="L11" s="52">
        <f t="shared" si="6"/>
        <v>728</v>
      </c>
      <c r="M11" s="53">
        <f t="shared" si="7"/>
        <v>0.351012536162006</v>
      </c>
      <c r="N11" s="46" t="s">
        <v>32</v>
      </c>
      <c r="O11" s="54">
        <v>120018</v>
      </c>
      <c r="P11" s="48">
        <v>119490</v>
      </c>
      <c r="Q11" s="49">
        <v>91696</v>
      </c>
      <c r="R11" s="41">
        <f t="shared" si="10"/>
        <v>0.764018730523755</v>
      </c>
      <c r="S11" s="42">
        <f t="shared" si="11"/>
        <v>-27794</v>
      </c>
      <c r="T11" s="41">
        <f t="shared" si="8"/>
        <v>-0.232605238932128</v>
      </c>
      <c r="U11" s="43"/>
      <c r="X11"/>
    </row>
    <row r="12" ht="22" customHeight="1" spans="1:24">
      <c r="A12" s="46" t="s">
        <v>33</v>
      </c>
      <c r="B12" s="50">
        <f>C12</f>
        <v>1971</v>
      </c>
      <c r="C12" s="50">
        <v>1971</v>
      </c>
      <c r="D12" s="50">
        <f>E12</f>
        <v>551</v>
      </c>
      <c r="E12" s="50">
        <v>551</v>
      </c>
      <c r="F12" s="50">
        <f>H12</f>
        <v>727</v>
      </c>
      <c r="G12" s="51">
        <f t="shared" si="2"/>
        <v>0.36884830035515</v>
      </c>
      <c r="H12" s="50">
        <v>727</v>
      </c>
      <c r="I12" s="51">
        <f t="shared" si="3"/>
        <v>0.36884830035515</v>
      </c>
      <c r="J12" s="52">
        <f t="shared" si="4"/>
        <v>176</v>
      </c>
      <c r="K12" s="53">
        <f t="shared" si="5"/>
        <v>0.319419237749546</v>
      </c>
      <c r="L12" s="52">
        <f t="shared" si="6"/>
        <v>176</v>
      </c>
      <c r="M12" s="53">
        <f t="shared" si="7"/>
        <v>0.319419237749546</v>
      </c>
      <c r="N12" s="46" t="s">
        <v>34</v>
      </c>
      <c r="O12" s="54">
        <v>188</v>
      </c>
      <c r="P12" s="48">
        <v>161</v>
      </c>
      <c r="Q12" s="49">
        <v>427</v>
      </c>
      <c r="R12" s="41">
        <f t="shared" si="10"/>
        <v>2.27127659574468</v>
      </c>
      <c r="S12" s="42">
        <f t="shared" si="11"/>
        <v>266</v>
      </c>
      <c r="T12" s="41">
        <f t="shared" si="8"/>
        <v>1.65217391304348</v>
      </c>
      <c r="U12" s="43"/>
      <c r="V12" s="43"/>
      <c r="W12" s="43"/>
      <c r="X12" s="43"/>
    </row>
    <row r="13" ht="22" customHeight="1" spans="1:24">
      <c r="A13" s="46" t="s">
        <v>35</v>
      </c>
      <c r="B13" s="50">
        <f t="shared" ref="B13:B19" si="12">C13</f>
        <v>1792</v>
      </c>
      <c r="C13" s="50">
        <v>1792</v>
      </c>
      <c r="D13" s="50">
        <f t="shared" ref="D13:D19" si="13">E13</f>
        <v>1299</v>
      </c>
      <c r="E13" s="50">
        <v>1299</v>
      </c>
      <c r="F13" s="50">
        <f t="shared" ref="F13:F19" si="14">H13</f>
        <v>628</v>
      </c>
      <c r="G13" s="51">
        <f t="shared" si="2"/>
        <v>0.350446428571429</v>
      </c>
      <c r="H13" s="50">
        <v>628</v>
      </c>
      <c r="I13" s="51">
        <f t="shared" si="3"/>
        <v>0.350446428571429</v>
      </c>
      <c r="J13" s="52">
        <f t="shared" si="4"/>
        <v>-671</v>
      </c>
      <c r="K13" s="53">
        <f t="shared" si="5"/>
        <v>-0.516551193225558</v>
      </c>
      <c r="L13" s="52">
        <f t="shared" si="6"/>
        <v>-671</v>
      </c>
      <c r="M13" s="53">
        <f t="shared" si="7"/>
        <v>-0.516551193225558</v>
      </c>
      <c r="N13" s="46" t="s">
        <v>36</v>
      </c>
      <c r="O13" s="54">
        <v>3007</v>
      </c>
      <c r="P13" s="48">
        <v>2346</v>
      </c>
      <c r="Q13" s="49">
        <v>2239</v>
      </c>
      <c r="R13" s="41">
        <f t="shared" si="10"/>
        <v>0.744595942800133</v>
      </c>
      <c r="S13" s="42">
        <f t="shared" si="11"/>
        <v>-107</v>
      </c>
      <c r="T13" s="41">
        <f t="shared" si="8"/>
        <v>-0.0456095481670929</v>
      </c>
      <c r="U13" s="43"/>
    </row>
    <row r="14" ht="22" customHeight="1" spans="1:24">
      <c r="A14" s="46" t="s">
        <v>37</v>
      </c>
      <c r="B14" s="50">
        <f t="shared" si="12"/>
        <v>1434</v>
      </c>
      <c r="C14" s="50">
        <v>1434</v>
      </c>
      <c r="D14" s="50">
        <f t="shared" si="13"/>
        <v>531</v>
      </c>
      <c r="E14" s="50">
        <v>531</v>
      </c>
      <c r="F14" s="50">
        <f t="shared" si="14"/>
        <v>465</v>
      </c>
      <c r="G14" s="51">
        <f t="shared" si="2"/>
        <v>0.324267782426778</v>
      </c>
      <c r="H14" s="50">
        <v>465</v>
      </c>
      <c r="I14" s="51">
        <f t="shared" si="3"/>
        <v>0.324267782426778</v>
      </c>
      <c r="J14" s="52">
        <f t="shared" si="4"/>
        <v>-66</v>
      </c>
      <c r="K14" s="53">
        <f t="shared" si="5"/>
        <v>-0.124293785310734</v>
      </c>
      <c r="L14" s="52">
        <f t="shared" si="6"/>
        <v>-66</v>
      </c>
      <c r="M14" s="53">
        <f t="shared" si="7"/>
        <v>-0.124293785310734</v>
      </c>
      <c r="N14" s="46" t="s">
        <v>38</v>
      </c>
      <c r="O14" s="54">
        <v>69698</v>
      </c>
      <c r="P14" s="48">
        <v>38915</v>
      </c>
      <c r="Q14" s="49">
        <v>46039</v>
      </c>
      <c r="R14" s="41">
        <f t="shared" si="10"/>
        <v>0.660549800568165</v>
      </c>
      <c r="S14" s="58">
        <f t="shared" si="11"/>
        <v>7124</v>
      </c>
      <c r="T14" s="41">
        <f t="shared" si="8"/>
        <v>0.183065655916742</v>
      </c>
      <c r="U14" s="43"/>
    </row>
    <row r="15" ht="22" customHeight="1" spans="1:24">
      <c r="A15" s="46" t="s">
        <v>39</v>
      </c>
      <c r="B15" s="50">
        <f t="shared" si="12"/>
        <v>538</v>
      </c>
      <c r="C15" s="50">
        <v>538</v>
      </c>
      <c r="D15" s="50">
        <f t="shared" si="13"/>
        <v>405</v>
      </c>
      <c r="E15" s="50">
        <v>405</v>
      </c>
      <c r="F15" s="50">
        <f t="shared" si="14"/>
        <v>234</v>
      </c>
      <c r="G15" s="51">
        <f t="shared" si="2"/>
        <v>0.434944237918216</v>
      </c>
      <c r="H15" s="50">
        <v>234</v>
      </c>
      <c r="I15" s="51">
        <f t="shared" si="3"/>
        <v>0.434944237918216</v>
      </c>
      <c r="J15" s="52">
        <f t="shared" si="4"/>
        <v>-171</v>
      </c>
      <c r="K15" s="53">
        <f t="shared" si="5"/>
        <v>-0.422222222222222</v>
      </c>
      <c r="L15" s="52">
        <f t="shared" si="6"/>
        <v>-171</v>
      </c>
      <c r="M15" s="53">
        <f t="shared" si="7"/>
        <v>-0.422222222222222</v>
      </c>
      <c r="N15" s="46" t="s">
        <v>40</v>
      </c>
      <c r="O15" s="57">
        <v>32684</v>
      </c>
      <c r="P15" s="48">
        <v>22328</v>
      </c>
      <c r="Q15" s="49">
        <v>25912</v>
      </c>
      <c r="R15" s="41">
        <f t="shared" si="10"/>
        <v>0.792803818382083</v>
      </c>
      <c r="S15" s="42">
        <f t="shared" si="11"/>
        <v>3584</v>
      </c>
      <c r="T15" s="41">
        <f t="shared" si="8"/>
        <v>0.160515944106055</v>
      </c>
      <c r="U15" s="43"/>
    </row>
    <row r="16" ht="22" customHeight="1" spans="1:24">
      <c r="A16" s="46" t="s">
        <v>41</v>
      </c>
      <c r="B16" s="50">
        <f t="shared" si="12"/>
        <v>1613</v>
      </c>
      <c r="C16" s="50">
        <v>1613</v>
      </c>
      <c r="D16" s="50">
        <f t="shared" si="13"/>
        <v>531</v>
      </c>
      <c r="E16" s="50">
        <v>531</v>
      </c>
      <c r="F16" s="50">
        <f t="shared" si="14"/>
        <v>1320</v>
      </c>
      <c r="G16" s="51">
        <f t="shared" si="2"/>
        <v>0.818350898946063</v>
      </c>
      <c r="H16" s="50">
        <v>1320</v>
      </c>
      <c r="I16" s="51">
        <f t="shared" si="3"/>
        <v>0.818350898946063</v>
      </c>
      <c r="J16" s="52">
        <f t="shared" si="4"/>
        <v>789</v>
      </c>
      <c r="K16" s="53">
        <f t="shared" si="5"/>
        <v>1.48587570621469</v>
      </c>
      <c r="L16" s="52">
        <f t="shared" si="6"/>
        <v>789</v>
      </c>
      <c r="M16" s="53">
        <f t="shared" si="7"/>
        <v>1.48587570621469</v>
      </c>
      <c r="N16" s="46" t="s">
        <v>42</v>
      </c>
      <c r="O16" s="54">
        <v>2042</v>
      </c>
      <c r="P16" s="48">
        <v>2476</v>
      </c>
      <c r="Q16" s="49">
        <v>1298</v>
      </c>
      <c r="R16" s="41">
        <f t="shared" si="10"/>
        <v>0.635651322233105</v>
      </c>
      <c r="S16" s="58">
        <f t="shared" si="11"/>
        <v>-1178</v>
      </c>
      <c r="T16" s="41">
        <f t="shared" si="8"/>
        <v>-0.475767366720517</v>
      </c>
      <c r="U16" s="43"/>
    </row>
    <row r="17" ht="22" customHeight="1" spans="1:24">
      <c r="A17" s="46" t="s">
        <v>43</v>
      </c>
      <c r="B17" s="50">
        <f t="shared" si="12"/>
        <v>2151</v>
      </c>
      <c r="C17" s="50">
        <v>2151</v>
      </c>
      <c r="D17" s="50">
        <f t="shared" si="13"/>
        <v>795</v>
      </c>
      <c r="E17" s="50">
        <v>795</v>
      </c>
      <c r="F17" s="50">
        <f t="shared" si="14"/>
        <v>797</v>
      </c>
      <c r="G17" s="51">
        <f t="shared" si="2"/>
        <v>0.370525337052534</v>
      </c>
      <c r="H17" s="50">
        <v>797</v>
      </c>
      <c r="I17" s="51">
        <f t="shared" si="3"/>
        <v>0.370525337052534</v>
      </c>
      <c r="J17" s="52">
        <f t="shared" si="4"/>
        <v>2</v>
      </c>
      <c r="K17" s="53">
        <f t="shared" si="5"/>
        <v>0.00251572327044025</v>
      </c>
      <c r="L17" s="52">
        <f t="shared" si="6"/>
        <v>2</v>
      </c>
      <c r="M17" s="53">
        <f t="shared" si="7"/>
        <v>0.00251572327044025</v>
      </c>
      <c r="N17" s="46" t="s">
        <v>44</v>
      </c>
      <c r="O17" s="54">
        <v>1238</v>
      </c>
      <c r="P17" s="48">
        <v>6676</v>
      </c>
      <c r="Q17" s="49">
        <v>1907</v>
      </c>
      <c r="R17" s="41">
        <f t="shared" si="10"/>
        <v>1.54038772213247</v>
      </c>
      <c r="S17" s="42">
        <f t="shared" si="11"/>
        <v>-4769</v>
      </c>
      <c r="T17" s="41">
        <f t="shared" si="8"/>
        <v>-0.714349910125824</v>
      </c>
      <c r="U17" s="43"/>
    </row>
    <row r="18" ht="22" customHeight="1" spans="1:24">
      <c r="A18" s="46" t="s">
        <v>45</v>
      </c>
      <c r="B18" s="50">
        <f t="shared" si="12"/>
        <v>0</v>
      </c>
      <c r="C18" s="50"/>
      <c r="D18" s="50">
        <f t="shared" si="13"/>
        <v>6</v>
      </c>
      <c r="E18" s="50">
        <v>6</v>
      </c>
      <c r="F18" s="50">
        <f t="shared" si="14"/>
        <v>1225</v>
      </c>
      <c r="G18" s="51" t="e">
        <f t="shared" si="2"/>
        <v>#DIV/0!</v>
      </c>
      <c r="H18" s="50">
        <v>1225</v>
      </c>
      <c r="I18" s="51" t="e">
        <f t="shared" si="3"/>
        <v>#DIV/0!</v>
      </c>
      <c r="J18" s="52">
        <f t="shared" si="4"/>
        <v>1219</v>
      </c>
      <c r="K18" s="53">
        <f t="shared" si="5"/>
        <v>203.166666666667</v>
      </c>
      <c r="L18" s="52">
        <f t="shared" si="6"/>
        <v>1219</v>
      </c>
      <c r="M18" s="53">
        <f t="shared" si="7"/>
        <v>203.166666666667</v>
      </c>
      <c r="N18" s="46" t="s">
        <v>46</v>
      </c>
      <c r="O18" s="54">
        <v>40865</v>
      </c>
      <c r="P18" s="48">
        <v>62124</v>
      </c>
      <c r="Q18" s="49">
        <v>47966</v>
      </c>
      <c r="R18" s="41">
        <f t="shared" si="10"/>
        <v>1.1737672825156</v>
      </c>
      <c r="S18" s="58">
        <f t="shared" si="11"/>
        <v>-14158</v>
      </c>
      <c r="T18" s="41">
        <f t="shared" si="8"/>
        <v>-0.227899040628421</v>
      </c>
      <c r="U18" s="43"/>
    </row>
    <row r="19" ht="22" customHeight="1" spans="1:24">
      <c r="A19" s="46" t="s">
        <v>47</v>
      </c>
      <c r="B19" s="50">
        <f t="shared" si="12"/>
        <v>1702</v>
      </c>
      <c r="C19" s="50">
        <v>1702</v>
      </c>
      <c r="D19" s="50">
        <f t="shared" si="13"/>
        <v>584</v>
      </c>
      <c r="E19" s="50">
        <v>584</v>
      </c>
      <c r="F19" s="50">
        <f t="shared" si="14"/>
        <v>1694</v>
      </c>
      <c r="G19" s="51">
        <f t="shared" si="2"/>
        <v>0.99529964747356</v>
      </c>
      <c r="H19" s="50">
        <v>1694</v>
      </c>
      <c r="I19" s="51">
        <f t="shared" si="3"/>
        <v>0.99529964747356</v>
      </c>
      <c r="J19" s="52">
        <f t="shared" si="4"/>
        <v>1110</v>
      </c>
      <c r="K19" s="53">
        <f t="shared" si="5"/>
        <v>1.90068493150685</v>
      </c>
      <c r="L19" s="52">
        <f t="shared" si="6"/>
        <v>1110</v>
      </c>
      <c r="M19" s="53">
        <f t="shared" si="7"/>
        <v>1.90068493150685</v>
      </c>
      <c r="N19" s="46" t="s">
        <v>48</v>
      </c>
      <c r="O19" s="54">
        <v>2043</v>
      </c>
      <c r="P19" s="48">
        <v>4720</v>
      </c>
      <c r="Q19" s="49">
        <v>1637</v>
      </c>
      <c r="R19" s="41">
        <f t="shared" si="10"/>
        <v>0.801272638277044</v>
      </c>
      <c r="S19" s="58">
        <f t="shared" si="11"/>
        <v>-3083</v>
      </c>
      <c r="T19" s="41">
        <f t="shared" si="8"/>
        <v>-0.653177966101695</v>
      </c>
      <c r="U19" s="43"/>
    </row>
    <row r="20" ht="22" customHeight="1" spans="1:24">
      <c r="A20" s="46" t="s">
        <v>49</v>
      </c>
      <c r="B20" s="59"/>
      <c r="C20" s="59"/>
      <c r="D20" s="50"/>
      <c r="E20" s="50"/>
      <c r="F20" s="50"/>
      <c r="G20" s="51"/>
      <c r="H20" s="50"/>
      <c r="I20" s="51"/>
      <c r="J20" s="52"/>
      <c r="K20" s="53"/>
      <c r="L20" s="52"/>
      <c r="M20" s="53"/>
      <c r="N20" s="46" t="s">
        <v>50</v>
      </c>
      <c r="O20" s="54">
        <v>0</v>
      </c>
      <c r="P20" s="48">
        <v>406</v>
      </c>
      <c r="Q20" s="49">
        <v>86.3</v>
      </c>
      <c r="R20" s="41" t="str">
        <f t="shared" si="10"/>
        <v/>
      </c>
      <c r="S20" s="58">
        <f t="shared" si="11"/>
        <v>-319.7</v>
      </c>
      <c r="T20" s="41">
        <f t="shared" si="8"/>
        <v>-0.78743842364532</v>
      </c>
      <c r="U20" s="43"/>
    </row>
    <row r="21" ht="22" customHeight="1" spans="1:24">
      <c r="A21" s="60" t="s">
        <v>51</v>
      </c>
      <c r="B21" s="61"/>
      <c r="C21" s="61"/>
      <c r="D21" s="50"/>
      <c r="E21" s="40"/>
      <c r="F21" s="61"/>
      <c r="G21" s="51"/>
      <c r="H21" s="61"/>
      <c r="I21" s="51"/>
      <c r="J21" s="52"/>
      <c r="K21" s="53"/>
      <c r="L21" s="52"/>
      <c r="M21" s="53"/>
      <c r="N21" s="46" t="s">
        <v>52</v>
      </c>
      <c r="O21" s="54">
        <v>421</v>
      </c>
      <c r="P21" s="48">
        <v>618</v>
      </c>
      <c r="Q21" s="49">
        <v>280</v>
      </c>
      <c r="R21" s="41">
        <f t="shared" si="10"/>
        <v>0.665083135391924</v>
      </c>
      <c r="S21" s="42">
        <f t="shared" si="11"/>
        <v>-338</v>
      </c>
      <c r="T21" s="41">
        <f t="shared" si="8"/>
        <v>-0.546925566343042</v>
      </c>
      <c r="U21" s="43"/>
    </row>
    <row r="22" ht="22" customHeight="1" spans="1:24">
      <c r="A22" s="46" t="s">
        <v>53</v>
      </c>
      <c r="B22" s="40"/>
      <c r="C22" s="40"/>
      <c r="D22" s="50"/>
      <c r="E22" s="40"/>
      <c r="F22" s="40"/>
      <c r="G22" s="51"/>
      <c r="H22" s="40"/>
      <c r="I22" s="51"/>
      <c r="J22" s="52"/>
      <c r="K22" s="53"/>
      <c r="L22" s="52"/>
      <c r="M22" s="53"/>
      <c r="N22" s="46" t="s">
        <v>54</v>
      </c>
      <c r="O22" s="54">
        <v>0</v>
      </c>
      <c r="P22" s="62">
        <v>0</v>
      </c>
      <c r="Q22" s="50">
        <v>0</v>
      </c>
      <c r="R22" s="41" t="str">
        <f t="shared" si="10"/>
        <v/>
      </c>
      <c r="S22" s="42">
        <f t="shared" si="11"/>
        <v>0</v>
      </c>
      <c r="T22" s="41" t="str">
        <f t="shared" si="8"/>
        <v/>
      </c>
      <c r="U22" s="43"/>
    </row>
    <row r="23" ht="22" customHeight="1" spans="1:24">
      <c r="A23" s="46"/>
      <c r="B23" s="50"/>
      <c r="C23" s="50"/>
      <c r="D23" s="50"/>
      <c r="E23" s="50"/>
      <c r="F23" s="50"/>
      <c r="G23" s="51"/>
      <c r="H23" s="50"/>
      <c r="I23" s="51"/>
      <c r="J23" s="52"/>
      <c r="K23" s="53"/>
      <c r="L23" s="52"/>
      <c r="M23" s="53"/>
      <c r="N23" s="46" t="s">
        <v>55</v>
      </c>
      <c r="O23" s="54">
        <v>0</v>
      </c>
      <c r="P23" s="62">
        <v>0</v>
      </c>
      <c r="Q23" s="50">
        <v>0</v>
      </c>
      <c r="R23" s="41" t="str">
        <f t="shared" si="10"/>
        <v/>
      </c>
      <c r="S23" s="58">
        <f t="shared" si="11"/>
        <v>0</v>
      </c>
      <c r="T23" s="41" t="str">
        <f t="shared" si="8"/>
        <v/>
      </c>
      <c r="U23" s="43"/>
    </row>
    <row r="24" ht="22" customHeight="1" spans="1:24">
      <c r="A24" s="44" t="s">
        <v>56</v>
      </c>
      <c r="B24" s="35">
        <f t="shared" ref="B24:I24" si="15">SUM(B25:B31)</f>
        <v>33434.6666666667</v>
      </c>
      <c r="C24" s="35">
        <f t="shared" si="15"/>
        <v>26464</v>
      </c>
      <c r="D24" s="35">
        <f t="shared" si="15"/>
        <v>30007</v>
      </c>
      <c r="E24" s="35">
        <f t="shared" si="15"/>
        <v>23211</v>
      </c>
      <c r="F24" s="35">
        <f t="shared" si="15"/>
        <v>24938</v>
      </c>
      <c r="G24" s="36">
        <f t="shared" si="2"/>
        <v>0.745872547455735</v>
      </c>
      <c r="H24" s="35">
        <f t="shared" si="15"/>
        <v>18534</v>
      </c>
      <c r="I24" s="36">
        <f t="shared" si="3"/>
        <v>0.700347642079806</v>
      </c>
      <c r="J24" s="37">
        <f t="shared" si="4"/>
        <v>-5069</v>
      </c>
      <c r="K24" s="38">
        <f t="shared" si="5"/>
        <v>-0.168927250308261</v>
      </c>
      <c r="L24" s="37">
        <f t="shared" si="6"/>
        <v>-4677</v>
      </c>
      <c r="M24" s="38">
        <f t="shared" si="7"/>
        <v>-0.201499289130154</v>
      </c>
      <c r="N24" s="46" t="s">
        <v>57</v>
      </c>
      <c r="O24" s="54">
        <v>1335</v>
      </c>
      <c r="P24" s="48">
        <v>677</v>
      </c>
      <c r="Q24" s="49">
        <v>621</v>
      </c>
      <c r="R24" s="41">
        <f t="shared" si="10"/>
        <v>0.465168539325843</v>
      </c>
      <c r="S24" s="42">
        <f t="shared" si="11"/>
        <v>-56</v>
      </c>
      <c r="T24" s="41">
        <f t="shared" si="8"/>
        <v>-0.0827178729689808</v>
      </c>
      <c r="U24" s="43"/>
    </row>
    <row r="25" ht="22" customHeight="1" spans="1:24">
      <c r="A25" s="63" t="s">
        <v>58</v>
      </c>
      <c r="B25" s="59">
        <f>C25</f>
        <v>3900</v>
      </c>
      <c r="C25" s="59">
        <v>3900</v>
      </c>
      <c r="D25" s="50">
        <f>E25+75-56+9</f>
        <v>1838</v>
      </c>
      <c r="E25" s="50">
        <v>1810</v>
      </c>
      <c r="F25" s="50">
        <f>H25+72+17-36</f>
        <v>3913</v>
      </c>
      <c r="G25" s="51">
        <f t="shared" si="2"/>
        <v>1.00333333333333</v>
      </c>
      <c r="H25" s="50">
        <v>3860</v>
      </c>
      <c r="I25" s="51">
        <f t="shared" si="3"/>
        <v>0.98974358974359</v>
      </c>
      <c r="J25" s="52">
        <f t="shared" si="4"/>
        <v>2075</v>
      </c>
      <c r="K25" s="53">
        <f t="shared" si="5"/>
        <v>1.12894450489663</v>
      </c>
      <c r="L25" s="52">
        <f t="shared" si="6"/>
        <v>2050</v>
      </c>
      <c r="M25" s="53">
        <f t="shared" si="7"/>
        <v>1.13259668508287</v>
      </c>
      <c r="N25" s="46" t="s">
        <v>59</v>
      </c>
      <c r="O25" s="57">
        <v>15102</v>
      </c>
      <c r="P25" s="48">
        <v>7098</v>
      </c>
      <c r="Q25" s="49">
        <v>9806</v>
      </c>
      <c r="R25" s="41">
        <f t="shared" si="10"/>
        <v>0.649317971129652</v>
      </c>
      <c r="S25" s="42">
        <f t="shared" si="11"/>
        <v>2708</v>
      </c>
      <c r="T25" s="41">
        <f t="shared" si="8"/>
        <v>0.381515919977458</v>
      </c>
      <c r="U25" s="43"/>
    </row>
    <row r="26" ht="22" customHeight="1" spans="1:24">
      <c r="A26" s="63" t="s">
        <v>60</v>
      </c>
      <c r="B26" s="59">
        <f>C26</f>
        <v>652</v>
      </c>
      <c r="C26" s="59">
        <v>652</v>
      </c>
      <c r="D26" s="50">
        <f>E26+265-258+15</f>
        <v>266</v>
      </c>
      <c r="E26" s="50">
        <v>244</v>
      </c>
      <c r="F26" s="64">
        <f>H26+75+109-36</f>
        <v>453</v>
      </c>
      <c r="G26" s="51">
        <f t="shared" si="2"/>
        <v>0.69478527607362</v>
      </c>
      <c r="H26" s="64">
        <v>305</v>
      </c>
      <c r="I26" s="51">
        <f t="shared" si="3"/>
        <v>0.467791411042945</v>
      </c>
      <c r="J26" s="52">
        <f t="shared" si="4"/>
        <v>187</v>
      </c>
      <c r="K26" s="53">
        <f t="shared" si="5"/>
        <v>0.703007518796993</v>
      </c>
      <c r="L26" s="52">
        <f t="shared" si="6"/>
        <v>61</v>
      </c>
      <c r="M26" s="53">
        <f t="shared" si="7"/>
        <v>0.25</v>
      </c>
      <c r="N26" s="46" t="s">
        <v>61</v>
      </c>
      <c r="O26" s="54">
        <v>83</v>
      </c>
      <c r="P26" s="48">
        <v>20</v>
      </c>
      <c r="Q26" s="49">
        <v>39.83</v>
      </c>
      <c r="R26" s="41">
        <f t="shared" si="10"/>
        <v>0.479879518072289</v>
      </c>
      <c r="S26" s="42">
        <f t="shared" si="11"/>
        <v>19.83</v>
      </c>
      <c r="T26" s="41">
        <f t="shared" si="8"/>
        <v>0.9915</v>
      </c>
      <c r="U26" s="43"/>
    </row>
    <row r="27" ht="22" customHeight="1" spans="1:24">
      <c r="A27" s="63" t="s">
        <v>62</v>
      </c>
      <c r="B27" s="59">
        <f>C27/0.75</f>
        <v>2384</v>
      </c>
      <c r="C27" s="59">
        <v>1788</v>
      </c>
      <c r="D27" s="50">
        <f>E27+217+113</f>
        <v>1297</v>
      </c>
      <c r="E27" s="64">
        <v>967</v>
      </c>
      <c r="F27" s="64">
        <f>H27+290+168</f>
        <v>1781</v>
      </c>
      <c r="G27" s="51">
        <f t="shared" si="2"/>
        <v>0.747063758389262</v>
      </c>
      <c r="H27" s="64">
        <v>1323</v>
      </c>
      <c r="I27" s="51">
        <f t="shared" si="3"/>
        <v>0.73993288590604</v>
      </c>
      <c r="J27" s="52">
        <f t="shared" si="4"/>
        <v>484</v>
      </c>
      <c r="K27" s="53">
        <f t="shared" si="5"/>
        <v>0.373168851195066</v>
      </c>
      <c r="L27" s="52">
        <f t="shared" si="6"/>
        <v>356</v>
      </c>
      <c r="M27" s="53">
        <f t="shared" si="7"/>
        <v>0.368148914167528</v>
      </c>
      <c r="N27" s="46" t="s">
        <v>63</v>
      </c>
      <c r="O27" s="54">
        <v>1695</v>
      </c>
      <c r="P27" s="62">
        <v>675</v>
      </c>
      <c r="Q27" s="50">
        <v>1591</v>
      </c>
      <c r="R27" s="41">
        <f t="shared" si="10"/>
        <v>0.938643067846608</v>
      </c>
      <c r="S27" s="58">
        <f t="shared" si="11"/>
        <v>916</v>
      </c>
      <c r="T27" s="41">
        <f t="shared" si="8"/>
        <v>1.35703703703704</v>
      </c>
      <c r="U27" s="43"/>
    </row>
    <row r="28" ht="22" customHeight="1" spans="1:24">
      <c r="A28" s="46" t="s">
        <v>64</v>
      </c>
      <c r="B28" s="59"/>
      <c r="C28" s="59"/>
      <c r="D28" s="50">
        <f t="shared" ref="D26:D34" si="16">E28</f>
        <v>0</v>
      </c>
      <c r="E28" s="50"/>
      <c r="F28" s="50"/>
      <c r="G28" s="51"/>
      <c r="H28" s="50"/>
      <c r="I28" s="51"/>
      <c r="J28" s="52">
        <f t="shared" si="4"/>
        <v>0</v>
      </c>
      <c r="K28" s="53"/>
      <c r="L28" s="52">
        <f t="shared" si="6"/>
        <v>0</v>
      </c>
      <c r="M28" s="53"/>
      <c r="N28" s="46" t="s">
        <v>65</v>
      </c>
      <c r="O28" s="54">
        <v>23815</v>
      </c>
      <c r="P28" s="48">
        <v>0</v>
      </c>
      <c r="Q28" s="40">
        <v>0</v>
      </c>
      <c r="R28" s="41" t="e">
        <f>IF(#REF!=0,"",Q28/#REF!)</f>
        <v>#REF!</v>
      </c>
      <c r="S28" s="58">
        <f t="shared" si="11"/>
        <v>0</v>
      </c>
      <c r="T28" s="41" t="str">
        <f t="shared" si="8"/>
        <v/>
      </c>
      <c r="U28" s="43"/>
    </row>
    <row r="29" ht="22" customHeight="1" spans="1:24">
      <c r="A29" s="46" t="s">
        <v>66</v>
      </c>
      <c r="B29" s="59">
        <f>C29/0.75</f>
        <v>25445.3333333333</v>
      </c>
      <c r="C29" s="59">
        <v>19084</v>
      </c>
      <c r="D29" s="50">
        <f>E29+4634+3369-608-987</f>
        <v>25573</v>
      </c>
      <c r="E29" s="64">
        <v>19165</v>
      </c>
      <c r="F29" s="64">
        <f>H29+162986+2127-158892-481</f>
        <v>18773</v>
      </c>
      <c r="G29" s="51">
        <f t="shared" si="2"/>
        <v>0.737777719555649</v>
      </c>
      <c r="H29" s="64">
        <v>13033</v>
      </c>
      <c r="I29" s="51">
        <f t="shared" si="3"/>
        <v>0.682928107315028</v>
      </c>
      <c r="J29" s="52">
        <f t="shared" si="4"/>
        <v>-6800</v>
      </c>
      <c r="K29" s="53">
        <f t="shared" si="5"/>
        <v>-0.265905447151292</v>
      </c>
      <c r="L29" s="52">
        <f t="shared" si="6"/>
        <v>-6132</v>
      </c>
      <c r="M29" s="53">
        <f t="shared" si="7"/>
        <v>-0.31995825723976</v>
      </c>
      <c r="N29" s="46" t="s">
        <v>67</v>
      </c>
      <c r="O29" s="39">
        <v>17752</v>
      </c>
      <c r="P29" s="62">
        <v>9411</v>
      </c>
      <c r="Q29" s="49">
        <v>12773</v>
      </c>
      <c r="R29" s="41">
        <f>IF(O28=0,"",Q29/O28)</f>
        <v>0.536342641192526</v>
      </c>
      <c r="S29" s="42">
        <f t="shared" si="11"/>
        <v>3362</v>
      </c>
      <c r="T29" s="41">
        <f t="shared" si="8"/>
        <v>0.357241525873977</v>
      </c>
      <c r="U29" s="43"/>
      <c r="X29" s="45"/>
    </row>
    <row r="30" ht="22" customHeight="1" spans="1:24">
      <c r="A30" s="46" t="s">
        <v>68</v>
      </c>
      <c r="B30" s="40">
        <f>C30</f>
        <v>1000</v>
      </c>
      <c r="C30" s="40">
        <v>1000</v>
      </c>
      <c r="D30" s="50">
        <f t="shared" si="16"/>
        <v>1000</v>
      </c>
      <c r="E30" s="50">
        <v>1000</v>
      </c>
      <c r="F30" s="65">
        <f>H30</f>
        <v>0</v>
      </c>
      <c r="G30" s="51"/>
      <c r="H30" s="65"/>
      <c r="I30" s="51"/>
      <c r="J30" s="52">
        <f t="shared" si="4"/>
        <v>-1000</v>
      </c>
      <c r="K30" s="53"/>
      <c r="L30" s="52">
        <f t="shared" si="6"/>
        <v>-1000</v>
      </c>
      <c r="M30" s="53"/>
      <c r="N30" s="46" t="s">
        <v>69</v>
      </c>
      <c r="O30" s="39">
        <v>70</v>
      </c>
      <c r="P30" s="48">
        <v>17</v>
      </c>
      <c r="Q30" s="40">
        <v>30</v>
      </c>
      <c r="R30" s="41">
        <f>IF(O29=0,"",Q30/O29)</f>
        <v>0.00168995042812078</v>
      </c>
      <c r="S30" s="58">
        <f t="shared" si="11"/>
        <v>13</v>
      </c>
      <c r="T30" s="41">
        <f t="shared" si="8"/>
        <v>0.764705882352941</v>
      </c>
      <c r="U30" s="43"/>
      <c r="X30" s="45"/>
    </row>
    <row r="31" ht="22" customHeight="1" spans="1:24">
      <c r="A31" s="46" t="s">
        <v>70</v>
      </c>
      <c r="B31" s="40">
        <f>C31/0.75</f>
        <v>53.3333333333333</v>
      </c>
      <c r="C31" s="40">
        <v>40</v>
      </c>
      <c r="D31" s="50">
        <f>E31+5+3</f>
        <v>33</v>
      </c>
      <c r="E31" s="50">
        <v>25</v>
      </c>
      <c r="F31" s="65">
        <f>H31+3+2</f>
        <v>18</v>
      </c>
      <c r="G31" s="51">
        <f t="shared" si="2"/>
        <v>0.3375</v>
      </c>
      <c r="H31" s="65">
        <v>13</v>
      </c>
      <c r="I31" s="51">
        <f t="shared" si="3"/>
        <v>0.325</v>
      </c>
      <c r="J31" s="52">
        <f t="shared" si="4"/>
        <v>-15</v>
      </c>
      <c r="K31" s="53">
        <f t="shared" si="5"/>
        <v>-0.454545454545455</v>
      </c>
      <c r="L31" s="52">
        <f t="shared" si="6"/>
        <v>-12</v>
      </c>
      <c r="M31" s="53">
        <f t="shared" si="7"/>
        <v>-0.48</v>
      </c>
      <c r="N31" s="46" t="s">
        <v>71</v>
      </c>
      <c r="O31" s="66">
        <v>4400</v>
      </c>
      <c r="P31" s="40"/>
      <c r="Q31" s="40"/>
      <c r="R31" s="41">
        <f>IF(O30=0,"",Q31/O30)</f>
        <v>0</v>
      </c>
      <c r="S31" s="58">
        <f t="shared" si="11"/>
        <v>0</v>
      </c>
      <c r="T31" s="41" t="str">
        <f t="shared" si="8"/>
        <v/>
      </c>
      <c r="U31" s="43"/>
    </row>
    <row r="32" ht="22" customHeight="1" spans="1:24">
      <c r="A32" s="44" t="s">
        <v>72</v>
      </c>
      <c r="B32" s="40">
        <v>42456</v>
      </c>
      <c r="C32" s="40">
        <v>42456</v>
      </c>
      <c r="D32" s="50">
        <f t="shared" si="16"/>
        <v>8745</v>
      </c>
      <c r="E32" s="50">
        <v>8745</v>
      </c>
      <c r="F32" s="50">
        <f>H32</f>
        <v>12989</v>
      </c>
      <c r="G32" s="51">
        <f t="shared" si="2"/>
        <v>0.305940267571132</v>
      </c>
      <c r="H32" s="50">
        <v>12989</v>
      </c>
      <c r="I32" s="51">
        <f t="shared" si="3"/>
        <v>0.305940267571132</v>
      </c>
      <c r="J32" s="52">
        <f t="shared" si="4"/>
        <v>4244</v>
      </c>
      <c r="K32" s="53">
        <f t="shared" si="5"/>
        <v>0.485305889079474</v>
      </c>
      <c r="L32" s="52">
        <f t="shared" si="6"/>
        <v>4244</v>
      </c>
      <c r="M32" s="53">
        <f t="shared" si="7"/>
        <v>0.485305889079474</v>
      </c>
      <c r="N32" s="67"/>
      <c r="O32" s="39"/>
      <c r="P32" s="40"/>
      <c r="Q32" s="40"/>
      <c r="R32" s="41"/>
      <c r="S32" s="58">
        <f t="shared" si="11"/>
        <v>0</v>
      </c>
      <c r="T32" s="41" t="str">
        <f t="shared" si="8"/>
        <v/>
      </c>
      <c r="U32" s="43"/>
    </row>
    <row r="33" ht="22" customHeight="1" spans="1:21">
      <c r="A33" s="28" t="s">
        <v>73</v>
      </c>
      <c r="B33" s="39">
        <v>139</v>
      </c>
      <c r="C33" s="39">
        <v>139</v>
      </c>
      <c r="D33" s="50">
        <f t="shared" si="16"/>
        <v>0</v>
      </c>
      <c r="E33" s="50">
        <v>0</v>
      </c>
      <c r="F33" s="68">
        <f>H33</f>
        <v>46</v>
      </c>
      <c r="G33" s="51">
        <f t="shared" si="2"/>
        <v>0.330935251798561</v>
      </c>
      <c r="H33" s="50">
        <v>46</v>
      </c>
      <c r="I33" s="51">
        <f t="shared" si="3"/>
        <v>0.330935251798561</v>
      </c>
      <c r="J33" s="52">
        <f t="shared" si="4"/>
        <v>46</v>
      </c>
      <c r="K33" s="53" t="e">
        <f t="shared" si="5"/>
        <v>#DIV/0!</v>
      </c>
      <c r="L33" s="52">
        <f t="shared" si="6"/>
        <v>46</v>
      </c>
      <c r="M33" s="53" t="e">
        <f t="shared" si="7"/>
        <v>#DIV/0!</v>
      </c>
      <c r="N33" s="44" t="s">
        <v>74</v>
      </c>
      <c r="O33" s="69">
        <v>65118</v>
      </c>
      <c r="P33" s="59">
        <v>73260</v>
      </c>
      <c r="Q33" s="70">
        <v>55981</v>
      </c>
      <c r="R33" s="41">
        <f>IF(O33=0,"",Q33/O33)</f>
        <v>0.859685494026229</v>
      </c>
      <c r="S33" s="42">
        <f t="shared" si="11"/>
        <v>-17279</v>
      </c>
      <c r="T33" s="41">
        <f t="shared" si="8"/>
        <v>-0.235858585858586</v>
      </c>
      <c r="U33" s="43"/>
    </row>
    <row r="34" ht="22" customHeight="1" spans="1:21">
      <c r="A34" s="46"/>
      <c r="B34" s="71"/>
      <c r="C34" s="71"/>
      <c r="D34" s="50">
        <f t="shared" si="16"/>
        <v>0</v>
      </c>
      <c r="E34" s="64"/>
      <c r="F34" s="64"/>
      <c r="G34" s="51"/>
      <c r="H34" s="64"/>
      <c r="I34" s="51"/>
      <c r="J34" s="72"/>
      <c r="K34" s="51"/>
      <c r="L34" s="72"/>
      <c r="M34" s="51"/>
      <c r="N34" s="28" t="s">
        <v>75</v>
      </c>
      <c r="O34" s="73">
        <v>107</v>
      </c>
      <c r="P34" s="59">
        <v>165</v>
      </c>
      <c r="Q34" s="70">
        <v>4</v>
      </c>
      <c r="R34" s="41">
        <f>IF(O34=0,"",Q34/O34)</f>
        <v>0.0373831775700935</v>
      </c>
      <c r="S34" s="42">
        <f t="shared" si="11"/>
        <v>-161</v>
      </c>
      <c r="T34" s="41">
        <f t="shared" si="8"/>
        <v>-0.975757575757576</v>
      </c>
      <c r="U34" s="43"/>
    </row>
    <row r="35" spans="1:21">
      <c r="O35" s="66"/>
      <c r="P35" s="74"/>
      <c r="Q35" s="74"/>
      <c r="R35" s="75"/>
      <c r="S35" s="76"/>
      <c r="T35" s="75"/>
      <c r="U35" s="77"/>
    </row>
    <row r="36" spans="1:21">
      <c r="F36" s="78"/>
      <c r="G36" s="79"/>
      <c r="H36" s="78"/>
      <c r="I36" s="79"/>
      <c r="J36" s="80"/>
      <c r="K36" s="79"/>
      <c r="L36" s="81"/>
      <c r="M36" s="79"/>
    </row>
    <row r="37" spans="1:21">
      <c r="F37" s="78"/>
      <c r="G37" s="79"/>
      <c r="H37" s="78"/>
      <c r="I37" s="79"/>
      <c r="J37" s="80"/>
      <c r="K37" s="79"/>
      <c r="L37" s="81"/>
      <c r="M37" s="79"/>
    </row>
    <row r="38" spans="1:21">
      <c r="G38" s="79"/>
      <c r="I38" s="79"/>
      <c r="J38" s="80"/>
      <c r="K38" s="79"/>
      <c r="L38" s="81"/>
      <c r="M38" s="79"/>
    </row>
  </sheetData>
  <mergeCells count="14">
    <mergeCell ref="A1:T1"/>
    <mergeCell ref="F3:I3"/>
    <mergeCell ref="J3:M3"/>
    <mergeCell ref="Q3:R3"/>
    <mergeCell ref="S3:T3"/>
    <mergeCell ref="R35:T35"/>
    <mergeCell ref="A3:A4"/>
    <mergeCell ref="B3:B4"/>
    <mergeCell ref="C3:C4"/>
    <mergeCell ref="D3:D4"/>
    <mergeCell ref="E3:E4"/>
    <mergeCell ref="N3:N4"/>
    <mergeCell ref="O3:O4"/>
    <mergeCell ref="P3:P4"/>
  </mergeCells>
  <printOptions horizontalCentered="1" verticalCentered="1"/>
  <pageMargins left="0.156944444444444" right="0" top="0" bottom="0.236111111111111" header="0.156944444444444" footer="0.0784722222222222"/>
  <pageSetup paperSize="9" scale="54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dcterms:created xsi:type="dcterms:W3CDTF">2010-01-29T19:10:00Z</dcterms:created>
  <cp:lastPrinted>2020-12-02T10:33:00Z</cp:lastPrinted>
  <dcterms:modified xsi:type="dcterms:W3CDTF">2026-09-08T12:18:53Z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1920D95783D24919AE50F836B838B8DA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