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05"/>
  </bookViews>
  <sheets>
    <sheet name="Sheet1" sheetId="2" r:id="rId1"/>
  </sheets>
  <definedNames>
    <definedName name="_xlnm._FilterDatabase" localSheetId="0" hidden="1">Sheet1!$A$3:$Z$34</definedName>
    <definedName name="_xlnm.Print_Area" localSheetId="0">Sheet1!$A$1:$T$34</definedName>
  </definedNames>
  <calcPr calcId="144525"/>
</workbook>
</file>

<file path=xl/sharedStrings.xml><?xml version="1.0" encoding="utf-8"?>
<sst xmlns="http://schemas.openxmlformats.org/spreadsheetml/2006/main" count="78">
  <si>
    <t>阿克陶县2026年9月份财政预算收支执行情况表</t>
  </si>
  <si>
    <t>编制单位： 阿克陶县财政局</t>
  </si>
  <si>
    <t>单位：万元</t>
  </si>
  <si>
    <t>项    目</t>
  </si>
  <si>
    <t>2026年年初预算数</t>
  </si>
  <si>
    <t>2026年预算数-体制改革后</t>
  </si>
  <si>
    <t>上年同期数</t>
  </si>
  <si>
    <t>体制改革后上年同期数</t>
  </si>
  <si>
    <t>累计完成情况</t>
  </si>
  <si>
    <t>比上年同期</t>
  </si>
  <si>
    <t>2026年预算数</t>
  </si>
  <si>
    <t>去年同口径金额</t>
  </si>
  <si>
    <t>占预算%</t>
  </si>
  <si>
    <t>体制改革后金额</t>
  </si>
  <si>
    <t>去年同口径增减额</t>
  </si>
  <si>
    <t>增减%</t>
  </si>
  <si>
    <t>体制改革后增减额</t>
  </si>
  <si>
    <t>金额</t>
  </si>
  <si>
    <t>增减额</t>
  </si>
  <si>
    <t>收入总计</t>
  </si>
  <si>
    <t>支出总计</t>
  </si>
  <si>
    <t>一般公共预算收入合计</t>
  </si>
  <si>
    <t>一般公共预算支出合计</t>
  </si>
  <si>
    <t>税收收入小计</t>
  </si>
  <si>
    <t>一、一般公共服务</t>
  </si>
  <si>
    <t>一、增值税</t>
  </si>
  <si>
    <t>二、外交</t>
  </si>
  <si>
    <t>二、企业所得税</t>
  </si>
  <si>
    <t>三、国防</t>
  </si>
  <si>
    <t>三、个人所得税</t>
  </si>
  <si>
    <t>四、公共安全</t>
  </si>
  <si>
    <t>四、资源税</t>
  </si>
  <si>
    <t>五、教育</t>
  </si>
  <si>
    <t>五、城市维护建设税</t>
  </si>
  <si>
    <t>六、科学技术</t>
  </si>
  <si>
    <t>六、房产税</t>
  </si>
  <si>
    <t>七、文化体育与传媒</t>
  </si>
  <si>
    <t>七、印花税</t>
  </si>
  <si>
    <t>八、社会保障和就业</t>
  </si>
  <si>
    <t>八、城镇土地使用税</t>
  </si>
  <si>
    <t>九、卫生健康支出</t>
  </si>
  <si>
    <t>九、土地增值税</t>
  </si>
  <si>
    <t>十、节能环保支出</t>
  </si>
  <si>
    <t>十、车船税</t>
  </si>
  <si>
    <t>十一、城乡社区事务</t>
  </si>
  <si>
    <t>十一、耕地占用税</t>
  </si>
  <si>
    <t>十二、农林水事务</t>
  </si>
  <si>
    <t>十二、契税</t>
  </si>
  <si>
    <t>十三、交通运输</t>
  </si>
  <si>
    <t>十三、烟叶税</t>
  </si>
  <si>
    <t>十四、资源勘探电力信息等事务</t>
  </si>
  <si>
    <t>十四、环境保护税</t>
  </si>
  <si>
    <t>十五、商业服务业等事务</t>
  </si>
  <si>
    <t>十五、其他税收收入</t>
  </si>
  <si>
    <t>十六、金融支出</t>
  </si>
  <si>
    <t>十七、援助其他地区支出</t>
  </si>
  <si>
    <t>非税收入小计</t>
  </si>
  <si>
    <t>十八、自然资源海洋气象等支出</t>
  </si>
  <si>
    <t>一、专项收入</t>
  </si>
  <si>
    <t>十九、住房保障支出</t>
  </si>
  <si>
    <t>二、行政事业性收费收入</t>
  </si>
  <si>
    <t>二十、粮油物资储备管理事务</t>
  </si>
  <si>
    <t>三、罚没收入</t>
  </si>
  <si>
    <t>二十一、灾害防治及应急管理支出</t>
  </si>
  <si>
    <t>四、国有资产经营收入</t>
  </si>
  <si>
    <t>二十二、其他支出</t>
  </si>
  <si>
    <t>五、国有资源（资产）有偿使用收入</t>
  </si>
  <si>
    <t>二十三、债务付息支出</t>
  </si>
  <si>
    <t>六、捐赠收入</t>
  </si>
  <si>
    <t>二十四、债务发行费用支出</t>
  </si>
  <si>
    <t>七、其他收入</t>
  </si>
  <si>
    <t>二十五、预备费</t>
  </si>
  <si>
    <t>政府性基金预算收入合计</t>
  </si>
  <si>
    <t>国有资本经营预算收入</t>
  </si>
  <si>
    <t>政府性基金预算支出合计</t>
  </si>
  <si>
    <t>国有资本经营预算支出</t>
  </si>
  <si>
    <t>民生支出</t>
  </si>
  <si>
    <t>民生支出占比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</si>
</sst>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  <numFmt numFmtId="178" formatCode="0_ ;[Red]\-0\ "/>
    <numFmt numFmtId="179" formatCode="0.0%"/>
  </numFmts>
  <fonts count="36">
    <font>
      <sz val="12"/>
      <name val="宋体"/>
      <charset val="134"/>
    </font>
    <font>
      <b/>
      <sz val="24"/>
      <name val="黑体"/>
      <charset val="134"/>
    </font>
    <font>
      <b/>
      <sz val="12"/>
      <name val="宋体-18030"/>
      <charset val="134"/>
    </font>
    <font>
      <b/>
      <sz val="11"/>
      <name val="宋体-18030"/>
      <charset val="134"/>
    </font>
    <font>
      <b/>
      <sz val="14"/>
      <name val="宋体-18030"/>
      <charset val="134"/>
    </font>
    <font>
      <b/>
      <sz val="12"/>
      <name val="华文中宋"/>
      <charset val="134"/>
    </font>
    <font>
      <b/>
      <sz val="12"/>
      <name val="Times New Roman"/>
      <charset val="134"/>
    </font>
    <font>
      <sz val="12"/>
      <name val="华文中宋"/>
      <charset val="134"/>
    </font>
    <font>
      <sz val="12"/>
      <name val="Times New Roman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12"/>
      <color rgb="FF000000"/>
      <name val="Times New Roman"/>
      <charset val="134"/>
    </font>
    <font>
      <b/>
      <sz val="22"/>
      <name val="宋体-18030"/>
      <charset val="134"/>
    </font>
    <font>
      <b/>
      <sz val="11"/>
      <name val="华文中宋"/>
      <charset val="134"/>
    </font>
    <font>
      <sz val="12"/>
      <name val="华文仿宋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2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15" borderId="10" applyNumberFormat="0" applyFon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33" fillId="14" borderId="13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0" borderId="0"/>
  </cellStyleXfs>
  <cellXfs count="10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0" fontId="0" fillId="0" borderId="0" xfId="0" applyNumberFormat="1" applyFill="1">
      <alignment vertical="center"/>
    </xf>
    <xf numFmtId="177" fontId="0" fillId="0" borderId="0" xfId="0" applyNumberFormat="1" applyFill="1">
      <alignment vertical="center"/>
    </xf>
    <xf numFmtId="177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0" fontId="0" fillId="0" borderId="0" xfId="0" applyNumberFormat="1" applyFill="1">
      <alignment vertical="center"/>
    </xf>
    <xf numFmtId="0" fontId="1" fillId="0" borderId="0" xfId="49" applyFont="1" applyFill="1" applyBorder="1" applyAlignment="1">
      <alignment horizontal="center" vertical="top"/>
    </xf>
    <xf numFmtId="10" fontId="1" fillId="0" borderId="0" xfId="49" applyNumberFormat="1" applyFont="1" applyFill="1" applyBorder="1" applyAlignment="1">
      <alignment horizontal="center" vertical="top"/>
    </xf>
    <xf numFmtId="0" fontId="2" fillId="0" borderId="0" xfId="49" applyFont="1" applyFill="1" applyBorder="1" applyAlignment="1"/>
    <xf numFmtId="0" fontId="3" fillId="0" borderId="0" xfId="49" applyFont="1" applyFill="1" applyBorder="1" applyAlignment="1"/>
    <xf numFmtId="10" fontId="4" fillId="0" borderId="0" xfId="49" applyNumberFormat="1" applyFont="1" applyFill="1" applyBorder="1" applyAlignment="1"/>
    <xf numFmtId="0" fontId="5" fillId="0" borderId="1" xfId="49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vertical="center" wrapText="1"/>
    </xf>
    <xf numFmtId="1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41" fontId="6" fillId="0" borderId="1" xfId="49" applyNumberFormat="1" applyFont="1" applyFill="1" applyBorder="1" applyAlignment="1">
      <alignment vertical="center" wrapText="1"/>
    </xf>
    <xf numFmtId="41" fontId="6" fillId="2" borderId="1" xfId="49" applyNumberFormat="1" applyFont="1" applyFill="1" applyBorder="1" applyAlignment="1">
      <alignment vertical="center" wrapText="1"/>
    </xf>
    <xf numFmtId="10" fontId="6" fillId="0" borderId="1" xfId="49" applyNumberFormat="1" applyFont="1" applyFill="1" applyBorder="1" applyAlignment="1">
      <alignment vertical="center" wrapText="1"/>
    </xf>
    <xf numFmtId="0" fontId="5" fillId="0" borderId="1" xfId="49" applyFont="1" applyFill="1" applyBorder="1" applyAlignment="1">
      <alignment horizontal="center"/>
    </xf>
    <xf numFmtId="0" fontId="7" fillId="0" borderId="1" xfId="49" applyFont="1" applyFill="1" applyBorder="1"/>
    <xf numFmtId="41" fontId="8" fillId="0" borderId="1" xfId="49" applyNumberFormat="1" applyFont="1" applyFill="1" applyBorder="1" applyAlignment="1" applyProtection="1">
      <alignment vertical="center" wrapText="1"/>
    </xf>
    <xf numFmtId="41" fontId="8" fillId="2" borderId="1" xfId="49" applyNumberFormat="1" applyFont="1" applyFill="1" applyBorder="1" applyAlignment="1" applyProtection="1">
      <alignment vertical="center" wrapText="1"/>
    </xf>
    <xf numFmtId="10" fontId="8" fillId="0" borderId="1" xfId="49" applyNumberFormat="1" applyFont="1" applyFill="1" applyBorder="1" applyAlignment="1">
      <alignment vertical="center" wrapText="1"/>
    </xf>
    <xf numFmtId="41" fontId="8" fillId="0" borderId="1" xfId="49" applyNumberFormat="1" applyFont="1" applyFill="1" applyBorder="1" applyAlignment="1">
      <alignment vertical="center" wrapText="1"/>
    </xf>
    <xf numFmtId="41" fontId="8" fillId="2" borderId="1" xfId="49" applyNumberFormat="1" applyFont="1" applyFill="1" applyBorder="1" applyAlignment="1">
      <alignment vertical="center" wrapText="1"/>
    </xf>
    <xf numFmtId="41" fontId="8" fillId="0" borderId="1" xfId="0" applyNumberFormat="1" applyFont="1" applyFill="1" applyBorder="1" applyAlignment="1">
      <alignment vertical="center" wrapText="1"/>
    </xf>
    <xf numFmtId="0" fontId="7" fillId="0" borderId="4" xfId="49" applyFont="1" applyFill="1" applyBorder="1"/>
    <xf numFmtId="41" fontId="8" fillId="0" borderId="1" xfId="0" applyNumberFormat="1" applyFont="1" applyFill="1" applyBorder="1" applyAlignment="1">
      <alignment vertical="center"/>
    </xf>
    <xf numFmtId="41" fontId="8" fillId="2" borderId="1" xfId="0" applyNumberFormat="1" applyFont="1" applyFill="1" applyBorder="1" applyAlignment="1">
      <alignment vertical="center"/>
    </xf>
    <xf numFmtId="0" fontId="7" fillId="0" borderId="1" xfId="49" applyFont="1" applyFill="1" applyBorder="1" applyAlignment="1">
      <alignment horizontal="left"/>
    </xf>
    <xf numFmtId="176" fontId="8" fillId="2" borderId="1" xfId="49" applyNumberFormat="1" applyFont="1" applyFill="1" applyBorder="1" applyAlignment="1" applyProtection="1">
      <alignment vertical="center" wrapText="1"/>
    </xf>
    <xf numFmtId="176" fontId="8" fillId="0" borderId="1" xfId="49" applyNumberFormat="1" applyFont="1" applyFill="1" applyBorder="1" applyAlignment="1" applyProtection="1">
      <alignment vertical="center" wrapText="1"/>
    </xf>
    <xf numFmtId="0" fontId="8" fillId="2" borderId="1" xfId="49" applyFont="1" applyFill="1" applyBorder="1" applyAlignment="1" applyProtection="1">
      <alignment vertical="center" wrapText="1"/>
    </xf>
    <xf numFmtId="0" fontId="8" fillId="0" borderId="1" xfId="49" applyFont="1" applyFill="1" applyBorder="1" applyAlignment="1" applyProtection="1">
      <alignment vertical="center" wrapText="1"/>
    </xf>
    <xf numFmtId="0" fontId="5" fillId="0" borderId="1" xfId="49" applyFont="1" applyFill="1" applyBorder="1" applyAlignment="1">
      <alignment horizontal="center" vertical="center"/>
    </xf>
    <xf numFmtId="41" fontId="8" fillId="0" borderId="1" xfId="49" applyNumberFormat="1" applyFont="1" applyFill="1" applyBorder="1" applyAlignment="1">
      <alignment horizontal="center" vertical="center" wrapText="1"/>
    </xf>
    <xf numFmtId="41" fontId="8" fillId="2" borderId="1" xfId="49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0" fontId="0" fillId="0" borderId="0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0" fontId="9" fillId="0" borderId="0" xfId="0" applyFont="1" applyFill="1">
      <alignment vertical="center"/>
    </xf>
    <xf numFmtId="10" fontId="10" fillId="0" borderId="0" xfId="49" applyNumberFormat="1" applyFont="1" applyFill="1" applyBorder="1" applyAlignment="1">
      <alignment wrapText="1"/>
    </xf>
    <xf numFmtId="0" fontId="1" fillId="0" borderId="0" xfId="49" applyFont="1" applyFill="1" applyBorder="1" applyAlignment="1">
      <alignment horizontal="center" vertical="center"/>
    </xf>
    <xf numFmtId="177" fontId="3" fillId="0" borderId="0" xfId="49" applyNumberFormat="1" applyFont="1" applyFill="1" applyBorder="1" applyAlignment="1"/>
    <xf numFmtId="10" fontId="3" fillId="0" borderId="0" xfId="49" applyNumberFormat="1" applyFont="1" applyFill="1" applyBorder="1" applyAlignment="1"/>
    <xf numFmtId="177" fontId="3" fillId="0" borderId="0" xfId="49" applyNumberFormat="1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7" fontId="5" fillId="0" borderId="1" xfId="49" applyNumberFormat="1" applyFont="1" applyFill="1" applyBorder="1" applyAlignment="1">
      <alignment horizontal="center" vertical="center" wrapText="1"/>
    </xf>
    <xf numFmtId="178" fontId="6" fillId="2" borderId="1" xfId="49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horizontal="right" vertical="center" wrapText="1"/>
    </xf>
    <xf numFmtId="178" fontId="6" fillId="0" borderId="1" xfId="49" applyNumberFormat="1" applyFont="1" applyFill="1" applyBorder="1" applyAlignment="1">
      <alignment vertical="center" wrapText="1"/>
    </xf>
    <xf numFmtId="41" fontId="11" fillId="0" borderId="4" xfId="0" applyNumberFormat="1" applyFont="1" applyFill="1" applyBorder="1" applyAlignment="1">
      <alignment horizontal="center" vertical="center"/>
    </xf>
    <xf numFmtId="3" fontId="8" fillId="0" borderId="1" xfId="49" applyNumberFormat="1" applyFont="1" applyFill="1" applyBorder="1" applyAlignment="1" applyProtection="1">
      <alignment vertical="center"/>
    </xf>
    <xf numFmtId="178" fontId="8" fillId="2" borderId="1" xfId="49" applyNumberFormat="1" applyFont="1" applyFill="1" applyBorder="1" applyAlignment="1">
      <alignment vertical="center" wrapText="1"/>
    </xf>
    <xf numFmtId="10" fontId="8" fillId="0" borderId="1" xfId="0" applyNumberFormat="1" applyFont="1" applyFill="1" applyBorder="1" applyAlignment="1">
      <alignment horizontal="right" vertical="center" wrapText="1"/>
    </xf>
    <xf numFmtId="178" fontId="8" fillId="0" borderId="1" xfId="49" applyNumberFormat="1" applyFont="1" applyFill="1" applyBorder="1" applyAlignment="1">
      <alignment vertical="center" wrapText="1"/>
    </xf>
    <xf numFmtId="41" fontId="8" fillId="0" borderId="1" xfId="0" applyNumberFormat="1" applyFont="1" applyFill="1" applyBorder="1" applyAlignment="1" applyProtection="1">
      <alignment horizontal="center" vertical="center" wrapText="1"/>
    </xf>
    <xf numFmtId="41" fontId="8" fillId="0" borderId="6" xfId="0" applyNumberFormat="1" applyFont="1" applyFill="1" applyBorder="1" applyAlignment="1" applyProtection="1">
      <alignment horizontal="center" vertical="center" wrapText="1"/>
    </xf>
    <xf numFmtId="3" fontId="8" fillId="0" borderId="1" xfId="49" applyNumberFormat="1" applyFont="1" applyFill="1" applyBorder="1" applyAlignment="1" applyProtection="1">
      <alignment vertical="center" wrapText="1"/>
    </xf>
    <xf numFmtId="0" fontId="8" fillId="0" borderId="0" xfId="0" applyFont="1" applyFill="1" applyAlignment="1">
      <alignment horizontal="center" vertical="center"/>
    </xf>
    <xf numFmtId="0" fontId="0" fillId="0" borderId="1" xfId="0" applyFont="1" applyFill="1" applyBorder="1">
      <alignment vertical="center"/>
    </xf>
    <xf numFmtId="41" fontId="8" fillId="0" borderId="1" xfId="8" applyNumberFormat="1" applyFont="1" applyFill="1" applyBorder="1" applyAlignment="1">
      <alignment horizontal="center" vertical="center" wrapText="1"/>
    </xf>
    <xf numFmtId="177" fontId="8" fillId="2" borderId="1" xfId="49" applyNumberFormat="1" applyFont="1" applyFill="1" applyBorder="1" applyAlignment="1">
      <alignment vertical="center" wrapText="1"/>
    </xf>
    <xf numFmtId="177" fontId="8" fillId="0" borderId="1" xfId="49" applyNumberFormat="1" applyFont="1" applyFill="1" applyBorder="1" applyAlignment="1">
      <alignment vertical="center" wrapText="1"/>
    </xf>
    <xf numFmtId="41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177" fontId="0" fillId="0" borderId="0" xfId="0" applyNumberFormat="1" applyFill="1" applyBorder="1">
      <alignment vertical="center"/>
    </xf>
    <xf numFmtId="177" fontId="0" fillId="0" borderId="0" xfId="0" applyNumberFormat="1" applyFill="1" applyBorder="1" applyAlignment="1">
      <alignment vertical="center"/>
    </xf>
    <xf numFmtId="177" fontId="10" fillId="0" borderId="0" xfId="49" applyNumberFormat="1" applyFont="1" applyFill="1" applyBorder="1" applyAlignment="1">
      <alignment wrapText="1"/>
    </xf>
    <xf numFmtId="177" fontId="10" fillId="0" borderId="0" xfId="49" applyNumberFormat="1" applyFont="1" applyFill="1" applyBorder="1" applyAlignment="1">
      <alignment vertical="center" wrapText="1"/>
    </xf>
    <xf numFmtId="0" fontId="0" fillId="0" borderId="0" xfId="0" applyFont="1" applyFill="1">
      <alignment vertical="center"/>
    </xf>
    <xf numFmtId="10" fontId="1" fillId="0" borderId="0" xfId="49" applyNumberFormat="1" applyFont="1" applyFill="1" applyBorder="1" applyAlignment="1">
      <alignment horizontal="center" vertical="center"/>
    </xf>
    <xf numFmtId="0" fontId="12" fillId="0" borderId="0" xfId="49" applyNumberFormat="1" applyFont="1" applyFill="1" applyBorder="1" applyAlignment="1">
      <alignment horizontal="center"/>
    </xf>
    <xf numFmtId="177" fontId="2" fillId="0" borderId="0" xfId="49" applyNumberFormat="1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/>
    <xf numFmtId="10" fontId="5" fillId="0" borderId="1" xfId="49" applyNumberFormat="1" applyFont="1" applyFill="1" applyBorder="1" applyAlignment="1">
      <alignment horizontal="center" vertical="center"/>
    </xf>
    <xf numFmtId="0" fontId="13" fillId="0" borderId="0" xfId="49" applyNumberFormat="1" applyFont="1" applyFill="1" applyBorder="1" applyAlignment="1">
      <alignment horizontal="center" vertical="center"/>
    </xf>
    <xf numFmtId="0" fontId="13" fillId="0" borderId="0" xfId="49" applyNumberFormat="1" applyFont="1" applyFill="1" applyBorder="1" applyAlignment="1">
      <alignment horizontal="center" vertical="center" wrapText="1"/>
    </xf>
    <xf numFmtId="10" fontId="8" fillId="0" borderId="1" xfId="49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10" fillId="0" borderId="0" xfId="49" applyNumberFormat="1" applyFont="1" applyFill="1" applyBorder="1" applyAlignment="1">
      <alignment wrapText="1"/>
    </xf>
    <xf numFmtId="41" fontId="8" fillId="0" borderId="1" xfId="49" applyNumberFormat="1" applyFont="1" applyFill="1" applyBorder="1" applyAlignment="1" applyProtection="1">
      <alignment vertical="center"/>
    </xf>
    <xf numFmtId="41" fontId="8" fillId="0" borderId="1" xfId="49" applyNumberFormat="1" applyFont="1" applyBorder="1" applyAlignment="1" applyProtection="1">
      <alignment vertical="center"/>
    </xf>
    <xf numFmtId="176" fontId="10" fillId="0" borderId="0" xfId="49" applyNumberFormat="1" applyFont="1" applyFill="1" applyBorder="1" applyAlignment="1">
      <alignment wrapText="1"/>
    </xf>
    <xf numFmtId="178" fontId="8" fillId="0" borderId="1" xfId="49" applyNumberFormat="1" applyFont="1" applyFill="1" applyBorder="1" applyAlignment="1">
      <alignment horizontal="center" vertical="center" wrapText="1"/>
    </xf>
    <xf numFmtId="177" fontId="14" fillId="0" borderId="0" xfId="0" applyNumberFormat="1" applyFont="1" applyFill="1" applyBorder="1" applyAlignment="1">
      <alignment horizontal="right" vertical="center" wrapText="1"/>
    </xf>
    <xf numFmtId="41" fontId="8" fillId="0" borderId="1" xfId="8" applyNumberFormat="1" applyFont="1" applyFill="1" applyBorder="1" applyAlignment="1">
      <alignment vertical="center" wrapText="1"/>
    </xf>
    <xf numFmtId="10" fontId="6" fillId="0" borderId="0" xfId="0" applyNumberFormat="1" applyFont="1" applyBorder="1" applyAlignment="1">
      <alignment horizontal="center" vertical="center"/>
    </xf>
    <xf numFmtId="179" fontId="6" fillId="0" borderId="0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>
      <alignment horizontal="center" vertical="center"/>
    </xf>
    <xf numFmtId="10" fontId="8" fillId="0" borderId="0" xfId="0" applyNumberFormat="1" applyFont="1" applyFill="1" applyBorder="1">
      <alignment vertical="center"/>
    </xf>
    <xf numFmtId="177" fontId="8" fillId="0" borderId="0" xfId="0" applyNumberFormat="1" applyFont="1" applyFill="1" applyBorder="1" applyAlignment="1">
      <alignment horizontal="center" vertical="center"/>
    </xf>
    <xf numFmtId="10" fontId="8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>
      <alignment vertical="center"/>
    </xf>
    <xf numFmtId="10" fontId="8" fillId="0" borderId="0" xfId="0" applyNumberFormat="1" applyFont="1" applyFill="1">
      <alignment vertical="center"/>
    </xf>
    <xf numFmtId="177" fontId="8" fillId="0" borderId="0" xfId="0" applyNumberFormat="1" applyFont="1" applyFill="1" applyAlignment="1">
      <alignment horizontal="center" vertical="center"/>
    </xf>
    <xf numFmtId="10" fontId="8" fillId="0" borderId="0" xfId="0" applyNumberFormat="1" applyFont="1" applyFill="1" applyAlignment="1">
      <alignment horizontal="center" vertical="center"/>
    </xf>
    <xf numFmtId="10" fontId="8" fillId="0" borderId="0" xfId="11" applyNumberFormat="1" applyFont="1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46"/>
  <sheetViews>
    <sheetView showGridLines="0" showZeros="0" tabSelected="1" workbookViewId="0">
      <pane xSplit="1" ySplit="1" topLeftCell="B2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14.25"/>
  <cols>
    <col min="1" max="1" width="28" style="1" customWidth="1"/>
    <col min="2" max="2" width="11.875" style="1" customWidth="1"/>
    <col min="3" max="3" width="12.375" style="1" customWidth="1"/>
    <col min="4" max="4" width="10.125" style="1" customWidth="1"/>
    <col min="5" max="5" width="9.625" style="1" customWidth="1"/>
    <col min="6" max="6" width="9.875" style="2" customWidth="1"/>
    <col min="7" max="7" width="9" style="3"/>
    <col min="8" max="8" width="10" style="2" customWidth="1"/>
    <col min="9" max="9" width="9.375" style="3"/>
    <col min="10" max="10" width="10.375" style="4" customWidth="1"/>
    <col min="11" max="11" width="10.25" style="3" customWidth="1"/>
    <col min="12" max="12" width="8.33333333333333" style="5" customWidth="1"/>
    <col min="13" max="13" width="13.25" style="3" customWidth="1"/>
    <col min="14" max="14" width="32" style="1" customWidth="1"/>
    <col min="15" max="15" width="10.875" style="6" customWidth="1"/>
    <col min="16" max="16" width="10.125" style="1" customWidth="1"/>
    <col min="17" max="17" width="11.25" style="1" customWidth="1"/>
    <col min="18" max="18" width="11.25" style="3" customWidth="1"/>
    <col min="19" max="19" width="12" style="7" customWidth="1"/>
    <col min="20" max="20" width="10.875" style="8" customWidth="1"/>
    <col min="21" max="21" width="16.75" style="9" customWidth="1"/>
    <col min="22" max="22" width="10.3333333333333" style="9" customWidth="1"/>
    <col min="23" max="23" width="10.0833333333333" style="9" customWidth="1"/>
    <col min="24" max="24" width="3.25" style="1" customWidth="1"/>
    <col min="25" max="25" width="12.75" style="1" customWidth="1"/>
    <col min="26" max="26" width="11.25" style="1" customWidth="1"/>
    <col min="27" max="16384" width="9" style="1"/>
  </cols>
  <sheetData>
    <row r="1" ht="31.5" spans="1:23">
      <c r="A1" s="10" t="s">
        <v>0</v>
      </c>
      <c r="B1" s="10"/>
      <c r="C1" s="10"/>
      <c r="D1" s="10"/>
      <c r="E1" s="10"/>
      <c r="F1" s="10"/>
      <c r="G1" s="11"/>
      <c r="H1" s="10"/>
      <c r="I1" s="11"/>
      <c r="J1" s="10"/>
      <c r="K1" s="11"/>
      <c r="L1" s="49"/>
      <c r="M1" s="11"/>
      <c r="N1" s="10"/>
      <c r="O1" s="49"/>
      <c r="P1" s="10"/>
      <c r="Q1" s="10"/>
      <c r="R1" s="11"/>
      <c r="S1" s="49"/>
      <c r="T1" s="79"/>
      <c r="U1" s="80"/>
      <c r="V1" s="80"/>
      <c r="W1" s="80"/>
    </row>
    <row r="2" ht="18.75" spans="1:23">
      <c r="A2" s="12" t="s">
        <v>1</v>
      </c>
      <c r="B2" s="13"/>
      <c r="C2" s="13"/>
      <c r="D2" s="13"/>
      <c r="E2" s="13"/>
      <c r="F2" s="13"/>
      <c r="G2" s="14"/>
      <c r="H2" s="13"/>
      <c r="I2" s="14"/>
      <c r="J2" s="50"/>
      <c r="K2" s="51"/>
      <c r="L2" s="52"/>
      <c r="M2" s="51"/>
      <c r="N2" s="12"/>
      <c r="O2" s="53"/>
      <c r="P2" s="13"/>
      <c r="Q2" s="13"/>
      <c r="R2" s="51"/>
      <c r="T2" s="81" t="s">
        <v>2</v>
      </c>
      <c r="U2" s="82"/>
      <c r="V2" s="82"/>
      <c r="W2" s="82"/>
    </row>
    <row r="3" ht="24" customHeight="1" spans="1:23">
      <c r="A3" s="15" t="s">
        <v>3</v>
      </c>
      <c r="B3" s="15" t="s">
        <v>4</v>
      </c>
      <c r="C3" s="15" t="s">
        <v>5</v>
      </c>
      <c r="D3" s="16" t="s">
        <v>6</v>
      </c>
      <c r="E3" s="15" t="s">
        <v>7</v>
      </c>
      <c r="F3" s="17" t="s">
        <v>8</v>
      </c>
      <c r="G3" s="18"/>
      <c r="H3" s="18"/>
      <c r="I3" s="54"/>
      <c r="J3" s="17" t="s">
        <v>9</v>
      </c>
      <c r="K3" s="18"/>
      <c r="L3" s="18"/>
      <c r="M3" s="54"/>
      <c r="N3" s="15" t="s">
        <v>3</v>
      </c>
      <c r="O3" s="15" t="s">
        <v>10</v>
      </c>
      <c r="P3" s="15" t="s">
        <v>6</v>
      </c>
      <c r="Q3" s="41" t="s">
        <v>8</v>
      </c>
      <c r="R3" s="83"/>
      <c r="S3" s="41" t="s">
        <v>9</v>
      </c>
      <c r="T3" s="83"/>
      <c r="U3" s="84"/>
      <c r="V3" s="84"/>
      <c r="W3" s="84"/>
    </row>
    <row r="4" ht="58" customHeight="1" spans="1:23">
      <c r="A4" s="15"/>
      <c r="B4" s="15"/>
      <c r="C4" s="15"/>
      <c r="D4" s="16"/>
      <c r="E4" s="15"/>
      <c r="F4" s="19" t="s">
        <v>11</v>
      </c>
      <c r="G4" s="20" t="s">
        <v>12</v>
      </c>
      <c r="H4" s="21" t="s">
        <v>13</v>
      </c>
      <c r="I4" s="20" t="s">
        <v>12</v>
      </c>
      <c r="J4" s="19" t="s">
        <v>14</v>
      </c>
      <c r="K4" s="20" t="s">
        <v>15</v>
      </c>
      <c r="L4" s="55" t="s">
        <v>16</v>
      </c>
      <c r="M4" s="20" t="s">
        <v>15</v>
      </c>
      <c r="N4" s="15"/>
      <c r="O4" s="15"/>
      <c r="P4" s="15"/>
      <c r="Q4" s="15" t="s">
        <v>17</v>
      </c>
      <c r="R4" s="20" t="s">
        <v>12</v>
      </c>
      <c r="S4" s="55" t="s">
        <v>18</v>
      </c>
      <c r="T4" s="20" t="s">
        <v>15</v>
      </c>
      <c r="U4" s="85"/>
      <c r="V4" s="85"/>
      <c r="W4" s="85"/>
    </row>
    <row r="5" ht="22" customHeight="1" spans="1:26">
      <c r="A5" s="15" t="s">
        <v>19</v>
      </c>
      <c r="B5" s="22">
        <f>SUM(B6+B32+B33)</f>
        <v>140839.666666667</v>
      </c>
      <c r="C5" s="22">
        <f t="shared" ref="C5:H5" si="0">SUM(C6+C32+C33)</f>
        <v>108756</v>
      </c>
      <c r="D5" s="23">
        <f t="shared" si="0"/>
        <v>73032</v>
      </c>
      <c r="E5" s="22">
        <v>52892</v>
      </c>
      <c r="F5" s="23">
        <f t="shared" si="0"/>
        <v>79257</v>
      </c>
      <c r="G5" s="24">
        <f>F5/B5</f>
        <v>0.562746290699352</v>
      </c>
      <c r="H5" s="22">
        <f t="shared" si="0"/>
        <v>56881</v>
      </c>
      <c r="I5" s="24">
        <f>H5/C5</f>
        <v>0.523014822170731</v>
      </c>
      <c r="J5" s="56">
        <f>F5-D5</f>
        <v>6225</v>
      </c>
      <c r="K5" s="57">
        <f>J5/D5</f>
        <v>0.0852366086099244</v>
      </c>
      <c r="L5" s="58">
        <f>H5-E5</f>
        <v>3989</v>
      </c>
      <c r="M5" s="57">
        <f>L5/E5</f>
        <v>0.075417832564471</v>
      </c>
      <c r="N5" s="41" t="s">
        <v>20</v>
      </c>
      <c r="O5" s="42">
        <f>O6+O33+O34</f>
        <v>498914</v>
      </c>
      <c r="P5" s="30">
        <v>518008</v>
      </c>
      <c r="Q5" s="30">
        <f>Q6+Q33+Q34</f>
        <v>441279.83</v>
      </c>
      <c r="R5" s="86">
        <f>IF(O5=0,"",Q5/O5)</f>
        <v>0.884480752193765</v>
      </c>
      <c r="S5" s="87">
        <f>S6+S33+S34</f>
        <v>-76728.17</v>
      </c>
      <c r="T5" s="86">
        <f>IF(P5=0,"",S5/P5)</f>
        <v>-0.148121592716715</v>
      </c>
      <c r="U5" s="88"/>
      <c r="V5" s="88"/>
      <c r="W5" s="88"/>
      <c r="Z5" s="88"/>
    </row>
    <row r="6" ht="22" customHeight="1" spans="1:26">
      <c r="A6" s="25" t="s">
        <v>21</v>
      </c>
      <c r="B6" s="22">
        <f>B7+B24</f>
        <v>98244.6666666666</v>
      </c>
      <c r="C6" s="22">
        <f t="shared" ref="C6:H6" si="1">C7+C24</f>
        <v>66161</v>
      </c>
      <c r="D6" s="23">
        <f t="shared" si="1"/>
        <v>64007</v>
      </c>
      <c r="E6" s="22">
        <v>43867</v>
      </c>
      <c r="F6" s="23">
        <f t="shared" si="1"/>
        <v>65495</v>
      </c>
      <c r="G6" s="24">
        <f t="shared" ref="G6:G34" si="2">F6/B6</f>
        <v>0.66665196414394</v>
      </c>
      <c r="H6" s="22">
        <f t="shared" si="1"/>
        <v>43119</v>
      </c>
      <c r="I6" s="24">
        <f t="shared" ref="I6:I33" si="3">H6/C6</f>
        <v>0.651728359607624</v>
      </c>
      <c r="J6" s="56">
        <f t="shared" ref="J6:J33" si="4">F6-D6</f>
        <v>1488</v>
      </c>
      <c r="K6" s="57">
        <f t="shared" ref="K6:K33" si="5">J6/D6</f>
        <v>0.0232474573093568</v>
      </c>
      <c r="L6" s="58">
        <f t="shared" ref="L6:L33" si="6">H6-E6</f>
        <v>-748</v>
      </c>
      <c r="M6" s="57">
        <f t="shared" ref="M6:M33" si="7">L6/E6</f>
        <v>-0.0170515421615337</v>
      </c>
      <c r="N6" s="25" t="s">
        <v>22</v>
      </c>
      <c r="O6" s="42">
        <f>SUM(O7:O31)</f>
        <v>433689</v>
      </c>
      <c r="P6" s="30">
        <v>431296</v>
      </c>
      <c r="Q6" s="30">
        <f>SUM(Q7:Q31)</f>
        <v>380223.83</v>
      </c>
      <c r="R6" s="86">
        <f>IF(O6=0,"",Q6/O6)</f>
        <v>0.876720022873534</v>
      </c>
      <c r="S6" s="87">
        <f>SUM(S7:S30)</f>
        <v>-51072.17</v>
      </c>
      <c r="T6" s="86">
        <f t="shared" ref="T6:T37" si="8">IF(P6=0,"",S6/P6)</f>
        <v>-0.118415589293664</v>
      </c>
      <c r="U6" s="88"/>
      <c r="V6" s="88"/>
      <c r="W6" s="88"/>
      <c r="Y6" s="46"/>
      <c r="Z6" s="88"/>
    </row>
    <row r="7" ht="22" customHeight="1" spans="1:26">
      <c r="A7" s="25" t="s">
        <v>23</v>
      </c>
      <c r="B7" s="22">
        <f>SUM(B8:B22)</f>
        <v>64810</v>
      </c>
      <c r="C7" s="22">
        <f t="shared" ref="C7:H7" si="9">SUM(C8:C22)</f>
        <v>39697</v>
      </c>
      <c r="D7" s="23">
        <f t="shared" si="9"/>
        <v>27342</v>
      </c>
      <c r="E7" s="22">
        <v>15639</v>
      </c>
      <c r="F7" s="23">
        <f t="shared" si="9"/>
        <v>35712</v>
      </c>
      <c r="G7" s="24">
        <f t="shared" si="2"/>
        <v>0.551026076222805</v>
      </c>
      <c r="H7" s="22">
        <f>SUM(H8:H22)</f>
        <v>20684</v>
      </c>
      <c r="I7" s="24">
        <f t="shared" si="3"/>
        <v>0.521046930498526</v>
      </c>
      <c r="J7" s="56">
        <f t="shared" si="4"/>
        <v>8370</v>
      </c>
      <c r="K7" s="57">
        <f t="shared" si="5"/>
        <v>0.306122448979592</v>
      </c>
      <c r="L7" s="58">
        <f t="shared" si="6"/>
        <v>5045</v>
      </c>
      <c r="M7" s="57">
        <f t="shared" si="7"/>
        <v>0.322590958501183</v>
      </c>
      <c r="N7" s="26" t="s">
        <v>24</v>
      </c>
      <c r="O7" s="59">
        <v>59037</v>
      </c>
      <c r="P7" s="60">
        <v>55052</v>
      </c>
      <c r="Q7" s="89">
        <v>52371</v>
      </c>
      <c r="R7" s="86">
        <f>IF(O7=0,"",Q7/O7)</f>
        <v>0.887087758524315</v>
      </c>
      <c r="S7" s="87">
        <f>Q7-P7</f>
        <v>-2681</v>
      </c>
      <c r="T7" s="86">
        <f t="shared" si="8"/>
        <v>-0.0486994114655235</v>
      </c>
      <c r="U7" s="88"/>
      <c r="V7" s="88"/>
      <c r="W7" s="88"/>
      <c r="Z7" s="88"/>
    </row>
    <row r="8" ht="22" customHeight="1" spans="1:26">
      <c r="A8" s="26" t="s">
        <v>25</v>
      </c>
      <c r="B8" s="27">
        <f>(C8/0.25)*0.5-5300</f>
        <v>21224</v>
      </c>
      <c r="C8" s="27">
        <v>13262</v>
      </c>
      <c r="D8" s="28">
        <f>E8+4101+1019+288-468</f>
        <v>9691</v>
      </c>
      <c r="E8" s="27">
        <v>4751</v>
      </c>
      <c r="F8" s="28">
        <f>H8+5203+1228-262</f>
        <v>12174</v>
      </c>
      <c r="G8" s="29">
        <f t="shared" si="2"/>
        <v>0.573595929136826</v>
      </c>
      <c r="H8" s="27">
        <v>6005</v>
      </c>
      <c r="I8" s="29">
        <f t="shared" si="3"/>
        <v>0.452797466445483</v>
      </c>
      <c r="J8" s="61">
        <f t="shared" si="4"/>
        <v>2483</v>
      </c>
      <c r="K8" s="62">
        <f t="shared" si="5"/>
        <v>0.256217108657517</v>
      </c>
      <c r="L8" s="63">
        <f t="shared" si="6"/>
        <v>1254</v>
      </c>
      <c r="M8" s="62">
        <f t="shared" si="7"/>
        <v>0.263944432751</v>
      </c>
      <c r="N8" s="26" t="s">
        <v>26</v>
      </c>
      <c r="O8" s="64">
        <v>0</v>
      </c>
      <c r="P8" s="60">
        <v>0</v>
      </c>
      <c r="Q8" s="90">
        <v>0</v>
      </c>
      <c r="R8" s="86" t="str">
        <f t="shared" ref="R8:R37" si="10">IF(O8=0,"",Q8/O8)</f>
        <v/>
      </c>
      <c r="S8" s="87">
        <f t="shared" ref="S8:S37" si="11">Q8-P8</f>
        <v>0</v>
      </c>
      <c r="T8" s="86" t="str">
        <f t="shared" si="8"/>
        <v/>
      </c>
      <c r="U8" s="88"/>
      <c r="V8" s="88"/>
      <c r="W8" s="91"/>
      <c r="Y8" s="46"/>
      <c r="Z8" s="88"/>
    </row>
    <row r="9" ht="22" customHeight="1" spans="1:26">
      <c r="A9" s="26" t="s">
        <v>27</v>
      </c>
      <c r="B9" s="27">
        <f>(C9/0.15)*0.4</f>
        <v>14816</v>
      </c>
      <c r="C9" s="27">
        <v>5556</v>
      </c>
      <c r="D9" s="28">
        <f>E9+3038+759</f>
        <v>6075</v>
      </c>
      <c r="E9" s="30">
        <v>2278</v>
      </c>
      <c r="F9" s="31">
        <f>H9+3136+784</f>
        <v>6272</v>
      </c>
      <c r="G9" s="29">
        <f t="shared" si="2"/>
        <v>0.423326133909287</v>
      </c>
      <c r="H9" s="30">
        <v>2352</v>
      </c>
      <c r="I9" s="29">
        <f t="shared" si="3"/>
        <v>0.423326133909287</v>
      </c>
      <c r="J9" s="61">
        <f t="shared" si="4"/>
        <v>197</v>
      </c>
      <c r="K9" s="62">
        <f t="shared" si="5"/>
        <v>0.0324279835390947</v>
      </c>
      <c r="L9" s="63">
        <f t="shared" si="6"/>
        <v>74</v>
      </c>
      <c r="M9" s="62">
        <f t="shared" si="7"/>
        <v>0.0324846356453029</v>
      </c>
      <c r="N9" s="26" t="s">
        <v>28</v>
      </c>
      <c r="O9" s="65">
        <v>53</v>
      </c>
      <c r="P9" s="60">
        <v>458</v>
      </c>
      <c r="Q9" s="90">
        <v>1472</v>
      </c>
      <c r="R9" s="86">
        <f t="shared" si="10"/>
        <v>27.7735849056604</v>
      </c>
      <c r="S9" s="87">
        <f t="shared" si="11"/>
        <v>1014</v>
      </c>
      <c r="T9" s="86">
        <f t="shared" si="8"/>
        <v>2.21397379912664</v>
      </c>
      <c r="U9" s="88"/>
      <c r="V9" s="88"/>
      <c r="W9" s="88"/>
      <c r="Z9"/>
    </row>
    <row r="10" ht="22" customHeight="1" spans="1:26">
      <c r="A10" s="26" t="s">
        <v>29</v>
      </c>
      <c r="B10" s="27">
        <f>(C10/0.15)*0.4</f>
        <v>9080</v>
      </c>
      <c r="C10" s="27">
        <v>3405</v>
      </c>
      <c r="D10" s="28">
        <f>E10+430+108</f>
        <v>861</v>
      </c>
      <c r="E10" s="27">
        <v>323</v>
      </c>
      <c r="F10" s="31">
        <f>H10+1515+379</f>
        <v>3030</v>
      </c>
      <c r="G10" s="29">
        <f t="shared" si="2"/>
        <v>0.333700440528634</v>
      </c>
      <c r="H10" s="30">
        <v>1136</v>
      </c>
      <c r="I10" s="29">
        <f t="shared" si="3"/>
        <v>0.333627019089574</v>
      </c>
      <c r="J10" s="61">
        <f t="shared" si="4"/>
        <v>2169</v>
      </c>
      <c r="K10" s="62">
        <f t="shared" si="5"/>
        <v>2.5191637630662</v>
      </c>
      <c r="L10" s="63">
        <f t="shared" si="6"/>
        <v>813</v>
      </c>
      <c r="M10" s="62">
        <f t="shared" si="7"/>
        <v>2.51702786377709</v>
      </c>
      <c r="N10" s="26" t="s">
        <v>30</v>
      </c>
      <c r="O10" s="64">
        <v>38143</v>
      </c>
      <c r="P10" s="60">
        <v>34684</v>
      </c>
      <c r="Q10" s="90">
        <v>32623</v>
      </c>
      <c r="R10" s="86">
        <f t="shared" si="10"/>
        <v>0.85528144089348</v>
      </c>
      <c r="S10" s="87">
        <f t="shared" si="11"/>
        <v>-2061</v>
      </c>
      <c r="T10" s="86">
        <f t="shared" si="8"/>
        <v>-0.0594222119709376</v>
      </c>
      <c r="U10" s="88"/>
      <c r="V10" s="88"/>
      <c r="W10" s="88"/>
      <c r="Z10"/>
    </row>
    <row r="11" ht="22" customHeight="1" spans="1:26">
      <c r="A11" s="26" t="s">
        <v>31</v>
      </c>
      <c r="B11" s="27">
        <f>C11*2-4057</f>
        <v>8489</v>
      </c>
      <c r="C11" s="27">
        <v>6273</v>
      </c>
      <c r="D11" s="28">
        <f>E11+2428</f>
        <v>4856</v>
      </c>
      <c r="E11" s="27">
        <v>2428</v>
      </c>
      <c r="F11" s="28">
        <f>H11+3045</f>
        <v>6067</v>
      </c>
      <c r="G11" s="29">
        <f t="shared" si="2"/>
        <v>0.714689598303687</v>
      </c>
      <c r="H11" s="27">
        <v>3022</v>
      </c>
      <c r="I11" s="29">
        <f t="shared" si="3"/>
        <v>0.481747170412881</v>
      </c>
      <c r="J11" s="61">
        <f t="shared" si="4"/>
        <v>1211</v>
      </c>
      <c r="K11" s="62">
        <f t="shared" si="5"/>
        <v>0.249382207578254</v>
      </c>
      <c r="L11" s="63">
        <f t="shared" si="6"/>
        <v>594</v>
      </c>
      <c r="M11" s="62">
        <f t="shared" si="7"/>
        <v>0.244645799011532</v>
      </c>
      <c r="N11" s="26" t="s">
        <v>32</v>
      </c>
      <c r="O11" s="64">
        <v>120018</v>
      </c>
      <c r="P11" s="60">
        <v>143717</v>
      </c>
      <c r="Q11" s="89">
        <v>110719</v>
      </c>
      <c r="R11" s="86">
        <f t="shared" si="10"/>
        <v>0.922519955340032</v>
      </c>
      <c r="S11" s="87">
        <f t="shared" si="11"/>
        <v>-32998</v>
      </c>
      <c r="T11" s="86">
        <f t="shared" si="8"/>
        <v>-0.229604013443086</v>
      </c>
      <c r="U11" s="88"/>
      <c r="V11" s="88"/>
      <c r="W11" s="88"/>
      <c r="Z11"/>
    </row>
    <row r="12" ht="22" customHeight="1" spans="1:26">
      <c r="A12" s="26" t="s">
        <v>33</v>
      </c>
      <c r="B12" s="27">
        <f>C12</f>
        <v>1971</v>
      </c>
      <c r="C12" s="27">
        <v>1971</v>
      </c>
      <c r="D12" s="28">
        <f>E12</f>
        <v>663</v>
      </c>
      <c r="E12" s="27">
        <v>663</v>
      </c>
      <c r="F12" s="28">
        <f>H12</f>
        <v>819</v>
      </c>
      <c r="G12" s="29">
        <f t="shared" si="2"/>
        <v>0.415525114155251</v>
      </c>
      <c r="H12" s="27">
        <v>819</v>
      </c>
      <c r="I12" s="29">
        <f t="shared" si="3"/>
        <v>0.415525114155251</v>
      </c>
      <c r="J12" s="61">
        <f t="shared" si="4"/>
        <v>156</v>
      </c>
      <c r="K12" s="62">
        <f t="shared" si="5"/>
        <v>0.235294117647059</v>
      </c>
      <c r="L12" s="63">
        <f t="shared" si="6"/>
        <v>156</v>
      </c>
      <c r="M12" s="62">
        <f t="shared" si="7"/>
        <v>0.235294117647059</v>
      </c>
      <c r="N12" s="26" t="s">
        <v>34</v>
      </c>
      <c r="O12" s="64">
        <v>188</v>
      </c>
      <c r="P12" s="60">
        <v>184</v>
      </c>
      <c r="Q12" s="89">
        <v>457</v>
      </c>
      <c r="R12" s="86">
        <f t="shared" si="10"/>
        <v>2.43085106382979</v>
      </c>
      <c r="S12" s="87">
        <f t="shared" si="11"/>
        <v>273</v>
      </c>
      <c r="T12" s="86">
        <f t="shared" si="8"/>
        <v>1.48369565217391</v>
      </c>
      <c r="U12" s="88"/>
      <c r="V12" s="88"/>
      <c r="W12" s="88"/>
      <c r="X12" s="88"/>
      <c r="Y12" s="88"/>
      <c r="Z12" s="88"/>
    </row>
    <row r="13" ht="22" customHeight="1" spans="1:23">
      <c r="A13" s="26" t="s">
        <v>35</v>
      </c>
      <c r="B13" s="27">
        <f t="shared" ref="B13:B19" si="12">C13</f>
        <v>1792</v>
      </c>
      <c r="C13" s="27">
        <v>1792</v>
      </c>
      <c r="D13" s="28">
        <f t="shared" ref="D13:D19" si="13">E13</f>
        <v>1309</v>
      </c>
      <c r="E13" s="27">
        <v>1309</v>
      </c>
      <c r="F13" s="28">
        <f t="shared" ref="F13:F19" si="14">H13</f>
        <v>645</v>
      </c>
      <c r="G13" s="29">
        <f t="shared" si="2"/>
        <v>0.359933035714286</v>
      </c>
      <c r="H13" s="27">
        <v>645</v>
      </c>
      <c r="I13" s="29">
        <f t="shared" si="3"/>
        <v>0.359933035714286</v>
      </c>
      <c r="J13" s="61">
        <f t="shared" si="4"/>
        <v>-664</v>
      </c>
      <c r="K13" s="62">
        <f t="shared" si="5"/>
        <v>-0.507257448433919</v>
      </c>
      <c r="L13" s="63">
        <f t="shared" si="6"/>
        <v>-664</v>
      </c>
      <c r="M13" s="62">
        <f t="shared" si="7"/>
        <v>-0.507257448433919</v>
      </c>
      <c r="N13" s="26" t="s">
        <v>36</v>
      </c>
      <c r="O13" s="64">
        <v>3007</v>
      </c>
      <c r="P13" s="60">
        <v>3414</v>
      </c>
      <c r="Q13" s="89">
        <v>2782</v>
      </c>
      <c r="R13" s="86">
        <f t="shared" si="10"/>
        <v>0.925174592617226</v>
      </c>
      <c r="S13" s="87">
        <f t="shared" si="11"/>
        <v>-632</v>
      </c>
      <c r="T13" s="86">
        <f t="shared" si="8"/>
        <v>-0.185120093731693</v>
      </c>
      <c r="U13" s="88"/>
      <c r="V13" s="88"/>
      <c r="W13" s="88"/>
    </row>
    <row r="14" ht="22" customHeight="1" spans="1:23">
      <c r="A14" s="26" t="s">
        <v>37</v>
      </c>
      <c r="B14" s="27">
        <f t="shared" si="12"/>
        <v>1434</v>
      </c>
      <c r="C14" s="27">
        <v>1434</v>
      </c>
      <c r="D14" s="28">
        <f t="shared" si="13"/>
        <v>547</v>
      </c>
      <c r="E14" s="27">
        <v>547</v>
      </c>
      <c r="F14" s="28">
        <f t="shared" si="14"/>
        <v>473</v>
      </c>
      <c r="G14" s="29">
        <f t="shared" si="2"/>
        <v>0.329846582984658</v>
      </c>
      <c r="H14" s="27">
        <v>473</v>
      </c>
      <c r="I14" s="29">
        <f t="shared" si="3"/>
        <v>0.329846582984658</v>
      </c>
      <c r="J14" s="61">
        <f t="shared" si="4"/>
        <v>-74</v>
      </c>
      <c r="K14" s="62">
        <f t="shared" si="5"/>
        <v>-0.135283363802559</v>
      </c>
      <c r="L14" s="63">
        <f t="shared" si="6"/>
        <v>-74</v>
      </c>
      <c r="M14" s="62">
        <f t="shared" si="7"/>
        <v>-0.135283363802559</v>
      </c>
      <c r="N14" s="26" t="s">
        <v>38</v>
      </c>
      <c r="O14" s="64">
        <v>69698</v>
      </c>
      <c r="P14" s="60">
        <v>43112</v>
      </c>
      <c r="Q14" s="89">
        <v>51979</v>
      </c>
      <c r="R14" s="86">
        <f t="shared" si="10"/>
        <v>0.745774627679417</v>
      </c>
      <c r="S14" s="92">
        <f t="shared" si="11"/>
        <v>8867</v>
      </c>
      <c r="T14" s="86">
        <f t="shared" si="8"/>
        <v>0.205673594358879</v>
      </c>
      <c r="U14" s="88"/>
      <c r="V14" s="88"/>
      <c r="W14" s="88"/>
    </row>
    <row r="15" ht="22" customHeight="1" spans="1:23">
      <c r="A15" s="26" t="s">
        <v>39</v>
      </c>
      <c r="B15" s="27">
        <f t="shared" si="12"/>
        <v>538</v>
      </c>
      <c r="C15" s="27">
        <v>538</v>
      </c>
      <c r="D15" s="28">
        <f t="shared" si="13"/>
        <v>403</v>
      </c>
      <c r="E15" s="27">
        <v>403</v>
      </c>
      <c r="F15" s="28">
        <f t="shared" si="14"/>
        <v>235</v>
      </c>
      <c r="G15" s="29">
        <f t="shared" si="2"/>
        <v>0.436802973977695</v>
      </c>
      <c r="H15" s="27">
        <v>235</v>
      </c>
      <c r="I15" s="29">
        <f t="shared" si="3"/>
        <v>0.436802973977695</v>
      </c>
      <c r="J15" s="61">
        <f t="shared" si="4"/>
        <v>-168</v>
      </c>
      <c r="K15" s="62">
        <f t="shared" si="5"/>
        <v>-0.416873449131514</v>
      </c>
      <c r="L15" s="63">
        <f t="shared" si="6"/>
        <v>-168</v>
      </c>
      <c r="M15" s="62">
        <f t="shared" si="7"/>
        <v>-0.416873449131514</v>
      </c>
      <c r="N15" s="26" t="s">
        <v>40</v>
      </c>
      <c r="O15" s="65">
        <v>32684</v>
      </c>
      <c r="P15" s="60">
        <v>26602</v>
      </c>
      <c r="Q15" s="89">
        <v>30684</v>
      </c>
      <c r="R15" s="86">
        <f t="shared" si="10"/>
        <v>0.938807979439481</v>
      </c>
      <c r="S15" s="87">
        <f t="shared" si="11"/>
        <v>4082</v>
      </c>
      <c r="T15" s="86">
        <f t="shared" si="8"/>
        <v>0.153447109239907</v>
      </c>
      <c r="U15" s="88"/>
      <c r="V15" s="88"/>
      <c r="W15" s="88"/>
    </row>
    <row r="16" ht="22" customHeight="1" spans="1:23">
      <c r="A16" s="26" t="s">
        <v>41</v>
      </c>
      <c r="B16" s="27">
        <f t="shared" si="12"/>
        <v>1613</v>
      </c>
      <c r="C16" s="27">
        <v>1613</v>
      </c>
      <c r="D16" s="28">
        <f t="shared" si="13"/>
        <v>610</v>
      </c>
      <c r="E16" s="27">
        <v>610</v>
      </c>
      <c r="F16" s="28">
        <f t="shared" si="14"/>
        <v>1516</v>
      </c>
      <c r="G16" s="29">
        <f t="shared" si="2"/>
        <v>0.939863608183509</v>
      </c>
      <c r="H16" s="27">
        <v>1516</v>
      </c>
      <c r="I16" s="29">
        <f t="shared" si="3"/>
        <v>0.939863608183509</v>
      </c>
      <c r="J16" s="61">
        <f t="shared" si="4"/>
        <v>906</v>
      </c>
      <c r="K16" s="62">
        <f t="shared" si="5"/>
        <v>1.48524590163934</v>
      </c>
      <c r="L16" s="63">
        <f t="shared" si="6"/>
        <v>906</v>
      </c>
      <c r="M16" s="62">
        <f t="shared" si="7"/>
        <v>1.48524590163934</v>
      </c>
      <c r="N16" s="26" t="s">
        <v>42</v>
      </c>
      <c r="O16" s="64">
        <v>2042</v>
      </c>
      <c r="P16" s="60">
        <v>2987</v>
      </c>
      <c r="Q16" s="89">
        <v>1644</v>
      </c>
      <c r="R16" s="86">
        <f t="shared" si="10"/>
        <v>0.805093046033301</v>
      </c>
      <c r="S16" s="92">
        <f t="shared" si="11"/>
        <v>-1343</v>
      </c>
      <c r="T16" s="86">
        <f t="shared" si="8"/>
        <v>-0.44961499832608</v>
      </c>
      <c r="U16" s="88"/>
      <c r="V16" s="88"/>
      <c r="W16" s="88"/>
    </row>
    <row r="17" ht="22" customHeight="1" spans="1:23">
      <c r="A17" s="26" t="s">
        <v>43</v>
      </c>
      <c r="B17" s="27">
        <f t="shared" si="12"/>
        <v>2151</v>
      </c>
      <c r="C17" s="27">
        <v>2151</v>
      </c>
      <c r="D17" s="28">
        <f t="shared" si="13"/>
        <v>854</v>
      </c>
      <c r="E17" s="27">
        <v>854</v>
      </c>
      <c r="F17" s="28">
        <f t="shared" si="14"/>
        <v>879</v>
      </c>
      <c r="G17" s="29">
        <f t="shared" si="2"/>
        <v>0.408647140864714</v>
      </c>
      <c r="H17" s="27">
        <v>879</v>
      </c>
      <c r="I17" s="29">
        <f t="shared" si="3"/>
        <v>0.408647140864714</v>
      </c>
      <c r="J17" s="61">
        <f t="shared" si="4"/>
        <v>25</v>
      </c>
      <c r="K17" s="62">
        <f t="shared" si="5"/>
        <v>0.0292740046838408</v>
      </c>
      <c r="L17" s="63">
        <f t="shared" si="6"/>
        <v>25</v>
      </c>
      <c r="M17" s="62">
        <f t="shared" si="7"/>
        <v>0.0292740046838408</v>
      </c>
      <c r="N17" s="26" t="s">
        <v>44</v>
      </c>
      <c r="O17" s="64">
        <v>1238</v>
      </c>
      <c r="P17" s="60">
        <v>9016</v>
      </c>
      <c r="Q17" s="89">
        <v>2258</v>
      </c>
      <c r="R17" s="86">
        <f t="shared" si="10"/>
        <v>1.82390953150242</v>
      </c>
      <c r="S17" s="87">
        <f t="shared" si="11"/>
        <v>-6758</v>
      </c>
      <c r="T17" s="86">
        <f t="shared" si="8"/>
        <v>-0.749556344276841</v>
      </c>
      <c r="U17" s="88"/>
      <c r="V17" s="88"/>
      <c r="W17" s="88"/>
    </row>
    <row r="18" ht="22" customHeight="1" spans="1:23">
      <c r="A18" s="26" t="s">
        <v>45</v>
      </c>
      <c r="B18" s="27">
        <f t="shared" si="12"/>
        <v>0</v>
      </c>
      <c r="C18" s="27"/>
      <c r="D18" s="28">
        <f t="shared" si="13"/>
        <v>810</v>
      </c>
      <c r="E18" s="27">
        <v>810</v>
      </c>
      <c r="F18" s="28">
        <f t="shared" si="14"/>
        <v>1232</v>
      </c>
      <c r="G18" s="29" t="e">
        <f t="shared" si="2"/>
        <v>#DIV/0!</v>
      </c>
      <c r="H18" s="27">
        <v>1232</v>
      </c>
      <c r="I18" s="29" t="e">
        <f t="shared" si="3"/>
        <v>#DIV/0!</v>
      </c>
      <c r="J18" s="61">
        <f t="shared" si="4"/>
        <v>422</v>
      </c>
      <c r="K18" s="62">
        <f t="shared" si="5"/>
        <v>0.520987654320988</v>
      </c>
      <c r="L18" s="63">
        <f t="shared" si="6"/>
        <v>422</v>
      </c>
      <c r="M18" s="62">
        <f t="shared" si="7"/>
        <v>0.520987654320988</v>
      </c>
      <c r="N18" s="26" t="s">
        <v>46</v>
      </c>
      <c r="O18" s="64">
        <v>40865</v>
      </c>
      <c r="P18" s="60">
        <v>75161</v>
      </c>
      <c r="Q18" s="89">
        <v>62400</v>
      </c>
      <c r="R18" s="86">
        <f t="shared" si="10"/>
        <v>1.52697907745014</v>
      </c>
      <c r="S18" s="92">
        <f t="shared" si="11"/>
        <v>-12761</v>
      </c>
      <c r="T18" s="86">
        <f t="shared" si="8"/>
        <v>-0.169782200875454</v>
      </c>
      <c r="U18" s="88"/>
      <c r="V18" s="88"/>
      <c r="W18" s="88"/>
    </row>
    <row r="19" ht="22" customHeight="1" spans="1:23">
      <c r="A19" s="26" t="s">
        <v>47</v>
      </c>
      <c r="B19" s="27">
        <f t="shared" si="12"/>
        <v>1702</v>
      </c>
      <c r="C19" s="27">
        <v>1702</v>
      </c>
      <c r="D19" s="28">
        <f t="shared" si="13"/>
        <v>663</v>
      </c>
      <c r="E19" s="27">
        <v>663</v>
      </c>
      <c r="F19" s="28">
        <f t="shared" si="14"/>
        <v>2370</v>
      </c>
      <c r="G19" s="29">
        <f t="shared" si="2"/>
        <v>1.3924794359577</v>
      </c>
      <c r="H19" s="27">
        <v>2370</v>
      </c>
      <c r="I19" s="29">
        <f t="shared" si="3"/>
        <v>1.3924794359577</v>
      </c>
      <c r="J19" s="61">
        <f t="shared" si="4"/>
        <v>1707</v>
      </c>
      <c r="K19" s="62">
        <f t="shared" si="5"/>
        <v>2.57466063348416</v>
      </c>
      <c r="L19" s="63">
        <f t="shared" si="6"/>
        <v>1707</v>
      </c>
      <c r="M19" s="62">
        <f t="shared" si="7"/>
        <v>2.57466063348416</v>
      </c>
      <c r="N19" s="26" t="s">
        <v>48</v>
      </c>
      <c r="O19" s="64">
        <v>2043</v>
      </c>
      <c r="P19" s="60">
        <v>5862</v>
      </c>
      <c r="Q19" s="89">
        <v>1909</v>
      </c>
      <c r="R19" s="86">
        <f t="shared" si="10"/>
        <v>0.934410181106216</v>
      </c>
      <c r="S19" s="92">
        <f t="shared" si="11"/>
        <v>-3953</v>
      </c>
      <c r="T19" s="86">
        <f t="shared" si="8"/>
        <v>-0.674343227567383</v>
      </c>
      <c r="U19" s="88"/>
      <c r="V19" s="88"/>
      <c r="W19" s="88"/>
    </row>
    <row r="20" ht="22" customHeight="1" spans="1:23">
      <c r="A20" s="26" t="s">
        <v>49</v>
      </c>
      <c r="B20" s="32"/>
      <c r="C20" s="32"/>
      <c r="D20" s="28"/>
      <c r="E20" s="27"/>
      <c r="F20" s="28"/>
      <c r="G20" s="29"/>
      <c r="H20" s="27"/>
      <c r="I20" s="29"/>
      <c r="J20" s="61"/>
      <c r="K20" s="62"/>
      <c r="L20" s="63"/>
      <c r="M20" s="62"/>
      <c r="N20" s="26" t="s">
        <v>50</v>
      </c>
      <c r="O20" s="64">
        <v>0</v>
      </c>
      <c r="P20" s="60">
        <v>6406</v>
      </c>
      <c r="Q20" s="89">
        <v>159</v>
      </c>
      <c r="R20" s="86" t="str">
        <f t="shared" si="10"/>
        <v/>
      </c>
      <c r="S20" s="92">
        <f t="shared" si="11"/>
        <v>-6247</v>
      </c>
      <c r="T20" s="86">
        <f t="shared" si="8"/>
        <v>-0.975179519200749</v>
      </c>
      <c r="U20" s="88"/>
      <c r="V20" s="88"/>
      <c r="W20" s="88"/>
    </row>
    <row r="21" ht="22" customHeight="1" spans="1:23">
      <c r="A21" s="33" t="s">
        <v>51</v>
      </c>
      <c r="B21" s="34"/>
      <c r="C21" s="34"/>
      <c r="D21" s="28"/>
      <c r="E21" s="30"/>
      <c r="F21" s="35"/>
      <c r="G21" s="29"/>
      <c r="H21" s="34"/>
      <c r="I21" s="29"/>
      <c r="J21" s="61"/>
      <c r="K21" s="62"/>
      <c r="L21" s="63"/>
      <c r="M21" s="62"/>
      <c r="N21" s="26" t="s">
        <v>52</v>
      </c>
      <c r="O21" s="64">
        <v>421</v>
      </c>
      <c r="P21" s="60">
        <v>668</v>
      </c>
      <c r="Q21" s="89">
        <v>307</v>
      </c>
      <c r="R21" s="86">
        <f t="shared" si="10"/>
        <v>0.729216152019002</v>
      </c>
      <c r="S21" s="87">
        <f t="shared" si="11"/>
        <v>-361</v>
      </c>
      <c r="T21" s="86">
        <f t="shared" si="8"/>
        <v>-0.540419161676647</v>
      </c>
      <c r="U21" s="88"/>
      <c r="V21" s="88"/>
      <c r="W21" s="88"/>
    </row>
    <row r="22" ht="22" customHeight="1" spans="1:23">
      <c r="A22" s="26" t="s">
        <v>53</v>
      </c>
      <c r="B22" s="30"/>
      <c r="C22" s="30"/>
      <c r="D22" s="28"/>
      <c r="E22" s="30"/>
      <c r="F22" s="31"/>
      <c r="G22" s="29"/>
      <c r="H22" s="30"/>
      <c r="I22" s="29"/>
      <c r="J22" s="61"/>
      <c r="K22" s="62"/>
      <c r="L22" s="63"/>
      <c r="M22" s="62"/>
      <c r="N22" s="26" t="s">
        <v>54</v>
      </c>
      <c r="O22" s="64">
        <v>0</v>
      </c>
      <c r="P22" s="66">
        <v>0</v>
      </c>
      <c r="Q22" s="27">
        <v>0</v>
      </c>
      <c r="R22" s="86" t="str">
        <f t="shared" si="10"/>
        <v/>
      </c>
      <c r="S22" s="87">
        <f t="shared" si="11"/>
        <v>0</v>
      </c>
      <c r="T22" s="86" t="str">
        <f t="shared" si="8"/>
        <v/>
      </c>
      <c r="U22" s="93"/>
      <c r="V22" s="88"/>
      <c r="W22" s="88"/>
    </row>
    <row r="23" ht="22" customHeight="1" spans="1:23">
      <c r="A23" s="26"/>
      <c r="B23" s="27"/>
      <c r="C23" s="27"/>
      <c r="D23" s="28"/>
      <c r="E23" s="27"/>
      <c r="F23" s="28"/>
      <c r="G23" s="29"/>
      <c r="H23" s="27"/>
      <c r="I23" s="29"/>
      <c r="J23" s="61"/>
      <c r="K23" s="62"/>
      <c r="L23" s="63"/>
      <c r="M23" s="62"/>
      <c r="N23" s="26" t="s">
        <v>55</v>
      </c>
      <c r="O23" s="64">
        <v>0</v>
      </c>
      <c r="P23" s="66">
        <v>0</v>
      </c>
      <c r="Q23" s="27">
        <v>0</v>
      </c>
      <c r="R23" s="86" t="str">
        <f t="shared" si="10"/>
        <v/>
      </c>
      <c r="S23" s="92">
        <f t="shared" si="11"/>
        <v>0</v>
      </c>
      <c r="T23" s="86" t="str">
        <f t="shared" si="8"/>
        <v/>
      </c>
      <c r="U23" s="88"/>
      <c r="V23" s="88"/>
      <c r="W23" s="88"/>
    </row>
    <row r="24" ht="22" customHeight="1" spans="1:23">
      <c r="A24" s="25" t="s">
        <v>56</v>
      </c>
      <c r="B24" s="22">
        <f t="shared" ref="B24:I24" si="15">SUM(B25:B31)</f>
        <v>33434.6666666666</v>
      </c>
      <c r="C24" s="22">
        <f t="shared" si="15"/>
        <v>26464</v>
      </c>
      <c r="D24" s="23">
        <f t="shared" si="15"/>
        <v>36665</v>
      </c>
      <c r="E24" s="22">
        <v>28228</v>
      </c>
      <c r="F24" s="23">
        <f t="shared" si="15"/>
        <v>29783</v>
      </c>
      <c r="G24" s="24">
        <f t="shared" si="2"/>
        <v>0.890782022651141</v>
      </c>
      <c r="H24" s="22">
        <f t="shared" si="15"/>
        <v>22435</v>
      </c>
      <c r="I24" s="24">
        <f t="shared" si="3"/>
        <v>0.847755441354293</v>
      </c>
      <c r="J24" s="56">
        <f t="shared" si="4"/>
        <v>-6882</v>
      </c>
      <c r="K24" s="57">
        <f t="shared" si="5"/>
        <v>-0.187699440883677</v>
      </c>
      <c r="L24" s="58">
        <f t="shared" si="6"/>
        <v>-5793</v>
      </c>
      <c r="M24" s="57">
        <f t="shared" si="7"/>
        <v>-0.205221765622786</v>
      </c>
      <c r="N24" s="26" t="s">
        <v>57</v>
      </c>
      <c r="O24" s="64">
        <v>1335</v>
      </c>
      <c r="P24" s="60">
        <v>2348</v>
      </c>
      <c r="Q24" s="89">
        <v>747</v>
      </c>
      <c r="R24" s="86">
        <f t="shared" si="10"/>
        <v>0.559550561797753</v>
      </c>
      <c r="S24" s="87">
        <f t="shared" si="11"/>
        <v>-1601</v>
      </c>
      <c r="T24" s="86">
        <f t="shared" si="8"/>
        <v>-0.681856899488927</v>
      </c>
      <c r="U24" s="88"/>
      <c r="V24" s="88"/>
      <c r="W24" s="88"/>
    </row>
    <row r="25" ht="22" customHeight="1" spans="1:23">
      <c r="A25" s="36" t="s">
        <v>58</v>
      </c>
      <c r="B25" s="32">
        <f>C25</f>
        <v>3900</v>
      </c>
      <c r="C25" s="32">
        <v>3900</v>
      </c>
      <c r="D25" s="28">
        <f>E25+93-64+14</f>
        <v>2006</v>
      </c>
      <c r="E25" s="27">
        <v>1963</v>
      </c>
      <c r="F25" s="28">
        <f>H25+108+19-69</f>
        <v>4043</v>
      </c>
      <c r="G25" s="29">
        <f t="shared" si="2"/>
        <v>1.03666666666667</v>
      </c>
      <c r="H25" s="27">
        <v>3985</v>
      </c>
      <c r="I25" s="29">
        <f t="shared" si="3"/>
        <v>1.02179487179487</v>
      </c>
      <c r="J25" s="61">
        <f t="shared" si="4"/>
        <v>2037</v>
      </c>
      <c r="K25" s="62">
        <f t="shared" si="5"/>
        <v>1.01545363908275</v>
      </c>
      <c r="L25" s="63">
        <f t="shared" si="6"/>
        <v>2022</v>
      </c>
      <c r="M25" s="62">
        <f t="shared" si="7"/>
        <v>1.03005603667855</v>
      </c>
      <c r="N25" s="26" t="s">
        <v>59</v>
      </c>
      <c r="O25" s="65">
        <v>15102</v>
      </c>
      <c r="P25" s="60">
        <v>8019</v>
      </c>
      <c r="Q25" s="89">
        <v>10829</v>
      </c>
      <c r="R25" s="86">
        <f t="shared" si="10"/>
        <v>0.717057343398225</v>
      </c>
      <c r="S25" s="87">
        <f t="shared" si="11"/>
        <v>2810</v>
      </c>
      <c r="T25" s="86">
        <f t="shared" si="8"/>
        <v>0.350417757825165</v>
      </c>
      <c r="U25" s="88"/>
      <c r="V25" s="88"/>
      <c r="W25" s="88"/>
    </row>
    <row r="26" ht="22" customHeight="1" spans="1:23">
      <c r="A26" s="36" t="s">
        <v>60</v>
      </c>
      <c r="B26" s="32">
        <f>C26</f>
        <v>652</v>
      </c>
      <c r="C26" s="32">
        <v>652</v>
      </c>
      <c r="D26" s="28">
        <f>E26+562-543+39</f>
        <v>444</v>
      </c>
      <c r="E26" s="27">
        <v>386</v>
      </c>
      <c r="F26" s="37">
        <f>H26+87+116-44</f>
        <v>508</v>
      </c>
      <c r="G26" s="29">
        <f t="shared" si="2"/>
        <v>0.779141104294479</v>
      </c>
      <c r="H26" s="38">
        <v>349</v>
      </c>
      <c r="I26" s="29">
        <f t="shared" si="3"/>
        <v>0.535276073619632</v>
      </c>
      <c r="J26" s="61">
        <f t="shared" si="4"/>
        <v>64</v>
      </c>
      <c r="K26" s="62">
        <f t="shared" si="5"/>
        <v>0.144144144144144</v>
      </c>
      <c r="L26" s="63">
        <f t="shared" si="6"/>
        <v>-37</v>
      </c>
      <c r="M26" s="62">
        <f t="shared" si="7"/>
        <v>-0.0958549222797927</v>
      </c>
      <c r="N26" s="26" t="s">
        <v>61</v>
      </c>
      <c r="O26" s="64">
        <v>83</v>
      </c>
      <c r="P26" s="60">
        <v>54</v>
      </c>
      <c r="Q26" s="89">
        <v>39.83</v>
      </c>
      <c r="R26" s="86">
        <f t="shared" si="10"/>
        <v>0.479879518072289</v>
      </c>
      <c r="S26" s="87">
        <f t="shared" si="11"/>
        <v>-14.17</v>
      </c>
      <c r="T26" s="86">
        <f t="shared" si="8"/>
        <v>-0.262407407407407</v>
      </c>
      <c r="U26" s="88"/>
      <c r="V26" s="88"/>
      <c r="W26" s="88"/>
    </row>
    <row r="27" ht="22" customHeight="1" spans="1:23">
      <c r="A27" s="36" t="s">
        <v>62</v>
      </c>
      <c r="B27" s="32">
        <f>C27/0.75</f>
        <v>2384</v>
      </c>
      <c r="C27" s="32">
        <v>1788</v>
      </c>
      <c r="D27" s="28">
        <f>E27+281+151</f>
        <v>1700</v>
      </c>
      <c r="E27" s="38">
        <v>1268</v>
      </c>
      <c r="F27" s="37">
        <f>H27+323+185</f>
        <v>1981</v>
      </c>
      <c r="G27" s="29">
        <f t="shared" si="2"/>
        <v>0.830956375838926</v>
      </c>
      <c r="H27" s="38">
        <v>1473</v>
      </c>
      <c r="I27" s="29">
        <f t="shared" si="3"/>
        <v>0.823825503355705</v>
      </c>
      <c r="J27" s="61">
        <f t="shared" si="4"/>
        <v>281</v>
      </c>
      <c r="K27" s="62">
        <f t="shared" si="5"/>
        <v>0.165294117647059</v>
      </c>
      <c r="L27" s="63">
        <f t="shared" si="6"/>
        <v>205</v>
      </c>
      <c r="M27" s="62">
        <f t="shared" si="7"/>
        <v>0.161671924290221</v>
      </c>
      <c r="N27" s="26" t="s">
        <v>63</v>
      </c>
      <c r="O27" s="64">
        <v>1695</v>
      </c>
      <c r="P27" s="66">
        <v>929</v>
      </c>
      <c r="Q27" s="27">
        <v>1738</v>
      </c>
      <c r="R27" s="86">
        <f t="shared" si="10"/>
        <v>1.02536873156342</v>
      </c>
      <c r="S27" s="92">
        <f t="shared" si="11"/>
        <v>809</v>
      </c>
      <c r="T27" s="86">
        <f t="shared" si="8"/>
        <v>0.870828848223897</v>
      </c>
      <c r="U27" s="88"/>
      <c r="V27" s="88"/>
      <c r="W27" s="88"/>
    </row>
    <row r="28" ht="22" customHeight="1" spans="1:23">
      <c r="A28" s="26" t="s">
        <v>64</v>
      </c>
      <c r="B28" s="32"/>
      <c r="C28" s="32"/>
      <c r="D28" s="28">
        <f t="shared" ref="D26:D34" si="16">E28</f>
        <v>0</v>
      </c>
      <c r="E28" s="27">
        <v>0</v>
      </c>
      <c r="F28" s="28"/>
      <c r="G28" s="29"/>
      <c r="H28" s="27"/>
      <c r="I28" s="29"/>
      <c r="J28" s="61">
        <f t="shared" si="4"/>
        <v>0</v>
      </c>
      <c r="K28" s="62"/>
      <c r="L28" s="63">
        <f t="shared" si="6"/>
        <v>0</v>
      </c>
      <c r="M28" s="62"/>
      <c r="N28" s="26" t="s">
        <v>65</v>
      </c>
      <c r="O28" s="64">
        <v>23815</v>
      </c>
      <c r="P28" s="60">
        <v>0</v>
      </c>
      <c r="Q28" s="30">
        <v>654</v>
      </c>
      <c r="R28" s="86" t="e">
        <f>IF(#REF!=0,"",Q28/#REF!)</f>
        <v>#REF!</v>
      </c>
      <c r="S28" s="92">
        <f t="shared" si="11"/>
        <v>654</v>
      </c>
      <c r="T28" s="86" t="str">
        <f t="shared" si="8"/>
        <v/>
      </c>
      <c r="U28" s="88"/>
      <c r="V28" s="88"/>
      <c r="W28" s="88"/>
    </row>
    <row r="29" ht="22" customHeight="1" spans="1:26">
      <c r="A29" s="26" t="s">
        <v>66</v>
      </c>
      <c r="B29" s="32">
        <f>C29/0.75</f>
        <v>25445.3333333333</v>
      </c>
      <c r="C29" s="32">
        <v>19084</v>
      </c>
      <c r="D29" s="28">
        <f>E29+7371+4045-2410-1111</f>
        <v>31478</v>
      </c>
      <c r="E29" s="38">
        <v>23583</v>
      </c>
      <c r="F29" s="37">
        <f>H29+165002+2479-160375-488</f>
        <v>22283</v>
      </c>
      <c r="G29" s="29">
        <f t="shared" si="2"/>
        <v>0.875720498847203</v>
      </c>
      <c r="H29" s="38">
        <v>15665</v>
      </c>
      <c r="I29" s="29">
        <f t="shared" si="3"/>
        <v>0.820844686648501</v>
      </c>
      <c r="J29" s="61">
        <f t="shared" si="4"/>
        <v>-9195</v>
      </c>
      <c r="K29" s="62">
        <f t="shared" si="5"/>
        <v>-0.292108774382108</v>
      </c>
      <c r="L29" s="63">
        <f t="shared" si="6"/>
        <v>-7918</v>
      </c>
      <c r="M29" s="62">
        <f t="shared" si="7"/>
        <v>-0.335750328626553</v>
      </c>
      <c r="N29" s="26" t="s">
        <v>67</v>
      </c>
      <c r="O29" s="42">
        <v>17752</v>
      </c>
      <c r="P29" s="66">
        <v>12606</v>
      </c>
      <c r="Q29" s="89">
        <v>14422</v>
      </c>
      <c r="R29" s="86">
        <f>IF(O28=0,"",Q29/O28)</f>
        <v>0.605584715515431</v>
      </c>
      <c r="S29" s="87">
        <f t="shared" si="11"/>
        <v>1816</v>
      </c>
      <c r="T29" s="86">
        <f t="shared" si="8"/>
        <v>0.144058384896081</v>
      </c>
      <c r="U29" s="88"/>
      <c r="V29" s="88"/>
      <c r="W29" s="88"/>
      <c r="Z29" s="46"/>
    </row>
    <row r="30" ht="22" customHeight="1" spans="1:26">
      <c r="A30" s="26" t="s">
        <v>68</v>
      </c>
      <c r="B30" s="30">
        <f>C30</f>
        <v>1000</v>
      </c>
      <c r="C30" s="30">
        <v>1000</v>
      </c>
      <c r="D30" s="28">
        <f t="shared" si="16"/>
        <v>1000</v>
      </c>
      <c r="E30" s="27">
        <v>1000</v>
      </c>
      <c r="F30" s="39">
        <f>H30</f>
        <v>950</v>
      </c>
      <c r="G30" s="29"/>
      <c r="H30" s="40">
        <v>950</v>
      </c>
      <c r="I30" s="29"/>
      <c r="J30" s="61">
        <f t="shared" si="4"/>
        <v>-50</v>
      </c>
      <c r="K30" s="62"/>
      <c r="L30" s="63">
        <f t="shared" si="6"/>
        <v>-50</v>
      </c>
      <c r="M30" s="62"/>
      <c r="N30" s="26" t="s">
        <v>69</v>
      </c>
      <c r="O30" s="42">
        <v>70</v>
      </c>
      <c r="P30" s="60">
        <v>17</v>
      </c>
      <c r="Q30" s="30">
        <v>30</v>
      </c>
      <c r="R30" s="86">
        <f>IF(O29=0,"",Q30/O29)</f>
        <v>0.00168995042812078</v>
      </c>
      <c r="S30" s="92">
        <f t="shared" si="11"/>
        <v>13</v>
      </c>
      <c r="T30" s="86">
        <f t="shared" si="8"/>
        <v>0.764705882352941</v>
      </c>
      <c r="U30" s="88"/>
      <c r="V30" s="88"/>
      <c r="W30" s="88"/>
      <c r="Z30" s="46"/>
    </row>
    <row r="31" ht="22" customHeight="1" spans="1:23">
      <c r="A31" s="26" t="s">
        <v>70</v>
      </c>
      <c r="B31" s="30">
        <f>C31/0.75</f>
        <v>53.3333333333333</v>
      </c>
      <c r="C31" s="30">
        <v>40</v>
      </c>
      <c r="D31" s="28">
        <f>E31+6+3</f>
        <v>37</v>
      </c>
      <c r="E31" s="27">
        <v>28</v>
      </c>
      <c r="F31" s="39">
        <f>H31+3+2</f>
        <v>18</v>
      </c>
      <c r="G31" s="29">
        <f t="shared" si="2"/>
        <v>0.3375</v>
      </c>
      <c r="H31" s="40">
        <v>13</v>
      </c>
      <c r="I31" s="29">
        <f t="shared" si="3"/>
        <v>0.325</v>
      </c>
      <c r="J31" s="61">
        <f t="shared" si="4"/>
        <v>-19</v>
      </c>
      <c r="K31" s="62">
        <f t="shared" si="5"/>
        <v>-0.513513513513513</v>
      </c>
      <c r="L31" s="63">
        <f t="shared" si="6"/>
        <v>-15</v>
      </c>
      <c r="M31" s="62">
        <f t="shared" si="7"/>
        <v>-0.535714285714286</v>
      </c>
      <c r="N31" s="26" t="s">
        <v>71</v>
      </c>
      <c r="O31" s="67">
        <v>4400</v>
      </c>
      <c r="P31" s="30"/>
      <c r="Q31" s="30"/>
      <c r="R31" s="86">
        <f>IF(O30=0,"",Q31/O30)</f>
        <v>0</v>
      </c>
      <c r="S31" s="92">
        <f t="shared" si="11"/>
        <v>0</v>
      </c>
      <c r="T31" s="86" t="str">
        <f t="shared" si="8"/>
        <v/>
      </c>
      <c r="U31" s="88"/>
      <c r="V31" s="88"/>
      <c r="W31" s="88"/>
    </row>
    <row r="32" ht="22" customHeight="1" spans="1:23">
      <c r="A32" s="25" t="s">
        <v>72</v>
      </c>
      <c r="B32" s="30">
        <v>42456</v>
      </c>
      <c r="C32" s="30">
        <v>42456</v>
      </c>
      <c r="D32" s="28">
        <f t="shared" si="16"/>
        <v>9001</v>
      </c>
      <c r="E32" s="27">
        <v>9001</v>
      </c>
      <c r="F32" s="28">
        <f>H32</f>
        <v>13695</v>
      </c>
      <c r="G32" s="29">
        <f t="shared" si="2"/>
        <v>0.322569248162804</v>
      </c>
      <c r="H32" s="27">
        <v>13695</v>
      </c>
      <c r="I32" s="29">
        <f t="shared" si="3"/>
        <v>0.322569248162804</v>
      </c>
      <c r="J32" s="61">
        <f t="shared" si="4"/>
        <v>4694</v>
      </c>
      <c r="K32" s="62">
        <f t="shared" si="5"/>
        <v>0.521497611376514</v>
      </c>
      <c r="L32" s="63">
        <f t="shared" si="6"/>
        <v>4694</v>
      </c>
      <c r="M32" s="62">
        <f t="shared" si="7"/>
        <v>0.521497611376514</v>
      </c>
      <c r="N32" s="68"/>
      <c r="O32" s="42"/>
      <c r="P32" s="30"/>
      <c r="Q32" s="30"/>
      <c r="R32" s="86"/>
      <c r="S32" s="92">
        <f t="shared" si="11"/>
        <v>0</v>
      </c>
      <c r="T32" s="86" t="str">
        <f t="shared" si="8"/>
        <v/>
      </c>
      <c r="U32" s="88"/>
      <c r="V32" s="88"/>
      <c r="W32" s="88"/>
    </row>
    <row r="33" ht="22" customHeight="1" spans="1:23">
      <c r="A33" s="41" t="s">
        <v>73</v>
      </c>
      <c r="B33" s="42">
        <v>139</v>
      </c>
      <c r="C33" s="42">
        <v>139</v>
      </c>
      <c r="D33" s="28">
        <f t="shared" si="16"/>
        <v>24</v>
      </c>
      <c r="E33" s="27">
        <v>24</v>
      </c>
      <c r="F33" s="43">
        <f>H33</f>
        <v>67</v>
      </c>
      <c r="G33" s="29">
        <f t="shared" si="2"/>
        <v>0.482014388489209</v>
      </c>
      <c r="H33" s="27">
        <v>67</v>
      </c>
      <c r="I33" s="29">
        <f t="shared" si="3"/>
        <v>0.482014388489209</v>
      </c>
      <c r="J33" s="61">
        <f t="shared" si="4"/>
        <v>43</v>
      </c>
      <c r="K33" s="62">
        <f t="shared" si="5"/>
        <v>1.79166666666667</v>
      </c>
      <c r="L33" s="63">
        <f t="shared" si="6"/>
        <v>43</v>
      </c>
      <c r="M33" s="62">
        <f t="shared" si="7"/>
        <v>1.79166666666667</v>
      </c>
      <c r="N33" s="25" t="s">
        <v>74</v>
      </c>
      <c r="O33" s="69">
        <v>65118</v>
      </c>
      <c r="P33" s="32">
        <v>86547</v>
      </c>
      <c r="Q33" s="94">
        <v>61051</v>
      </c>
      <c r="R33" s="86">
        <f>IF(O33=0,"",Q33/O33)</f>
        <v>0.937544150618877</v>
      </c>
      <c r="S33" s="87">
        <f t="shared" si="11"/>
        <v>-25496</v>
      </c>
      <c r="T33" s="86">
        <f t="shared" si="8"/>
        <v>-0.294591378095139</v>
      </c>
      <c r="U33" s="88"/>
      <c r="V33" s="88"/>
      <c r="W33" s="88"/>
    </row>
    <row r="34" ht="22" customHeight="1" spans="1:23">
      <c r="A34" s="26"/>
      <c r="B34" s="44"/>
      <c r="C34" s="44"/>
      <c r="D34" s="28">
        <f t="shared" si="16"/>
        <v>0</v>
      </c>
      <c r="E34" s="38"/>
      <c r="F34" s="37"/>
      <c r="G34" s="29"/>
      <c r="H34" s="38"/>
      <c r="I34" s="29"/>
      <c r="J34" s="70"/>
      <c r="K34" s="29"/>
      <c r="L34" s="71"/>
      <c r="M34" s="29"/>
      <c r="N34" s="41" t="s">
        <v>75</v>
      </c>
      <c r="O34" s="72">
        <v>107</v>
      </c>
      <c r="P34" s="32">
        <v>165</v>
      </c>
      <c r="Q34" s="94">
        <v>5</v>
      </c>
      <c r="R34" s="86">
        <f>IF(O34=0,"",Q34/O34)</f>
        <v>0.0467289719626168</v>
      </c>
      <c r="S34" s="87">
        <f t="shared" si="11"/>
        <v>-160</v>
      </c>
      <c r="T34" s="86">
        <f t="shared" si="8"/>
        <v>-0.96969696969697</v>
      </c>
      <c r="U34" s="88"/>
      <c r="V34" s="88"/>
      <c r="W34" s="88"/>
    </row>
    <row r="35" ht="15.75" spans="15:23">
      <c r="O35" s="67"/>
      <c r="P35" s="73"/>
      <c r="Q35" s="73"/>
      <c r="R35" s="95"/>
      <c r="S35" s="96"/>
      <c r="T35" s="95"/>
      <c r="U35" s="97"/>
      <c r="V35" s="97"/>
      <c r="W35" s="97"/>
    </row>
    <row r="36" ht="15.75" spans="7:23">
      <c r="G36" s="45"/>
      <c r="I36" s="45"/>
      <c r="J36" s="74"/>
      <c r="K36" s="45"/>
      <c r="L36" s="75"/>
      <c r="M36" s="45"/>
      <c r="O36" s="67"/>
      <c r="P36" s="73"/>
      <c r="Q36" s="73"/>
      <c r="R36" s="98"/>
      <c r="S36" s="99"/>
      <c r="T36" s="100"/>
      <c r="U36" s="101"/>
      <c r="V36" s="101"/>
      <c r="W36" s="101"/>
    </row>
    <row r="37" ht="15.75" spans="2:20">
      <c r="B37" s="46"/>
      <c r="C37" s="46"/>
      <c r="D37" s="46"/>
      <c r="E37" s="46"/>
      <c r="F37" s="47"/>
      <c r="G37" s="48"/>
      <c r="H37" s="47"/>
      <c r="I37" s="48"/>
      <c r="J37" s="76"/>
      <c r="K37" s="48"/>
      <c r="L37" s="77"/>
      <c r="M37" s="48"/>
      <c r="N37" s="78" t="s">
        <v>76</v>
      </c>
      <c r="O37" s="67"/>
      <c r="P37" s="73"/>
      <c r="Q37" s="73">
        <f>Q11+Q12+Q13+Q14+Q15+Q16+Q17+Q18+Q19+Q25+Q26+Q24+Q21+Q20</f>
        <v>276913.83</v>
      </c>
      <c r="R37" s="102"/>
      <c r="S37" s="103"/>
      <c r="T37" s="104"/>
    </row>
    <row r="38" ht="15.75" spans="6:20">
      <c r="F38" s="47"/>
      <c r="G38" s="45"/>
      <c r="H38" s="47"/>
      <c r="I38" s="45"/>
      <c r="J38" s="74"/>
      <c r="K38" s="45"/>
      <c r="L38" s="75"/>
      <c r="M38" s="45"/>
      <c r="N38" s="78" t="s">
        <v>77</v>
      </c>
      <c r="O38" s="67"/>
      <c r="P38" s="73"/>
      <c r="Q38" s="105">
        <f>Q37/Q6</f>
        <v>0.728291622332035</v>
      </c>
      <c r="R38" s="102"/>
      <c r="S38" s="103"/>
      <c r="T38" s="104"/>
    </row>
    <row r="39" ht="15.75" spans="6:20">
      <c r="F39" s="47"/>
      <c r="G39" s="45"/>
      <c r="H39" s="47"/>
      <c r="I39" s="45"/>
      <c r="J39" s="74"/>
      <c r="K39" s="45"/>
      <c r="L39" s="75"/>
      <c r="M39" s="45"/>
      <c r="O39" s="67"/>
      <c r="P39" s="73"/>
      <c r="Q39" s="73"/>
      <c r="R39" s="102"/>
      <c r="S39" s="103"/>
      <c r="T39" s="104"/>
    </row>
    <row r="40" ht="15.75" spans="2:20">
      <c r="B40" s="46"/>
      <c r="C40" s="46"/>
      <c r="D40" s="46"/>
      <c r="E40" s="46"/>
      <c r="F40" s="47"/>
      <c r="G40" s="48"/>
      <c r="H40" s="47"/>
      <c r="I40" s="48"/>
      <c r="J40" s="76"/>
      <c r="K40" s="48"/>
      <c r="L40" s="77"/>
      <c r="M40" s="48"/>
      <c r="O40" s="67"/>
      <c r="P40" s="73"/>
      <c r="Q40" s="73"/>
      <c r="R40" s="102"/>
      <c r="S40" s="103"/>
      <c r="T40" s="104"/>
    </row>
    <row r="41" ht="15.75" spans="6:20">
      <c r="F41" s="47"/>
      <c r="G41" s="45"/>
      <c r="H41" s="47"/>
      <c r="I41" s="45"/>
      <c r="J41" s="74"/>
      <c r="K41" s="45"/>
      <c r="L41" s="75"/>
      <c r="M41" s="45"/>
      <c r="O41" s="67"/>
      <c r="P41" s="73"/>
      <c r="Q41" s="73">
        <f>SUBTOTAL(9,Q11:Q26)</f>
        <v>276913.83</v>
      </c>
      <c r="R41" s="102"/>
      <c r="S41" s="103"/>
      <c r="T41" s="104"/>
    </row>
    <row r="42" ht="15.75" spans="6:20">
      <c r="F42" s="47"/>
      <c r="G42" s="45"/>
      <c r="H42" s="47"/>
      <c r="I42" s="45"/>
      <c r="J42" s="74"/>
      <c r="K42" s="45"/>
      <c r="L42" s="75"/>
      <c r="M42" s="45"/>
      <c r="O42" s="67"/>
      <c r="P42" s="73"/>
      <c r="Q42" s="73"/>
      <c r="R42" s="102"/>
      <c r="S42" s="103"/>
      <c r="T42" s="104"/>
    </row>
    <row r="43" spans="6:13">
      <c r="F43" s="47"/>
      <c r="G43" s="45"/>
      <c r="H43" s="47"/>
      <c r="I43" s="45"/>
      <c r="J43" s="74"/>
      <c r="K43" s="45"/>
      <c r="L43" s="75"/>
      <c r="M43" s="45"/>
    </row>
    <row r="44" spans="6:13">
      <c r="F44" s="47"/>
      <c r="G44" s="45"/>
      <c r="H44" s="47"/>
      <c r="I44" s="45"/>
      <c r="J44" s="74"/>
      <c r="K44" s="45"/>
      <c r="L44" s="75"/>
      <c r="M44" s="45"/>
    </row>
    <row r="45" spans="6:13">
      <c r="F45" s="47"/>
      <c r="G45" s="45"/>
      <c r="H45" s="47"/>
      <c r="I45" s="45"/>
      <c r="J45" s="74"/>
      <c r="K45" s="45"/>
      <c r="L45" s="75"/>
      <c r="M45" s="45"/>
    </row>
    <row r="46" spans="7:13">
      <c r="G46" s="45"/>
      <c r="I46" s="45"/>
      <c r="J46" s="74"/>
      <c r="K46" s="45"/>
      <c r="L46" s="75"/>
      <c r="M46" s="45"/>
    </row>
  </sheetData>
  <mergeCells count="14">
    <mergeCell ref="A1:T1"/>
    <mergeCell ref="F3:I3"/>
    <mergeCell ref="J3:M3"/>
    <mergeCell ref="Q3:R3"/>
    <mergeCell ref="S3:T3"/>
    <mergeCell ref="R35:T35"/>
    <mergeCell ref="A3:A4"/>
    <mergeCell ref="B3:B4"/>
    <mergeCell ref="C3:C4"/>
    <mergeCell ref="D3:D4"/>
    <mergeCell ref="E3:E4"/>
    <mergeCell ref="N3:N4"/>
    <mergeCell ref="O3:O4"/>
    <mergeCell ref="P3:P4"/>
  </mergeCells>
  <printOptions horizontalCentered="1" verticalCentered="1"/>
  <pageMargins left="0.156944444444444" right="0" top="0" bottom="0.236111111111111" header="0.156944444444444" footer="0.0784722222222222"/>
  <pageSetup paperSize="9" scale="54" orientation="landscape" horizont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��:S�W:S�W:S�W:S�W:S�W:S�W:S�W:S�W:S�W:S�W:S�W:S�W:S�W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阿克陶县财政局</cp:lastModifiedBy>
  <dcterms:created xsi:type="dcterms:W3CDTF">2010-01-29T11:10:00Z</dcterms:created>
  <cp:lastPrinted>2020-12-02T02:33:00Z</cp:lastPrinted>
  <dcterms:modified xsi:type="dcterms:W3CDTF">2026-10-12T04:33:56Z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1920D95783D24919AE50F836B838B8DA</vt:lpwstr>
  </property>
  <property fmtid="{D5CDD505-2E9C-101B-9397-08002B2CF9AE}" pid="4" name="KSOReadingLayout">
    <vt:bool>true</vt:bool>
  </property>
</Properties>
</file>