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05"/>
  </bookViews>
  <sheets>
    <sheet name="Sheet1" sheetId="2" r:id="rId1"/>
  </sheets>
  <definedNames>
    <definedName name="_xlnm._FilterDatabase" localSheetId="0" hidden="1">Sheet1!$A$3:$Z$34</definedName>
    <definedName name="_xlnm.Print_Area" localSheetId="0">Sheet1!$A$1:$T$34</definedName>
  </definedNames>
  <calcPr calcId="144525"/>
</workbook>
</file>

<file path=xl/sharedStrings.xml><?xml version="1.0" encoding="utf-8"?>
<sst xmlns="http://schemas.openxmlformats.org/spreadsheetml/2006/main" count="76">
  <si>
    <t>阿克陶县2026年10月份财政预算收支执行情况表</t>
  </si>
  <si>
    <t>编制单位： 阿克陶县财政局</t>
  </si>
  <si>
    <t>单位：万元</t>
  </si>
  <si>
    <t>项    目</t>
  </si>
  <si>
    <t>2026年年初预算数</t>
  </si>
  <si>
    <t>2026年预算数-体制改革后</t>
  </si>
  <si>
    <t>上年同期数</t>
  </si>
  <si>
    <t>体制改革后上年同期数</t>
  </si>
  <si>
    <t>累计完成情况</t>
  </si>
  <si>
    <t>比上年同期</t>
  </si>
  <si>
    <t>2026年预算数</t>
  </si>
  <si>
    <t>去年同口径金额</t>
  </si>
  <si>
    <t>占预算%</t>
  </si>
  <si>
    <t>体制改革后金额</t>
  </si>
  <si>
    <t>去年同口径增减额</t>
  </si>
  <si>
    <t>增减%</t>
  </si>
  <si>
    <t>体制改革后增减额</t>
  </si>
  <si>
    <t>金额</t>
  </si>
  <si>
    <t>增减额</t>
  </si>
  <si>
    <t>收入总计</t>
  </si>
  <si>
    <t>支出总计</t>
  </si>
  <si>
    <t>一般公共预算收入合计</t>
  </si>
  <si>
    <t>一般公共预算支出合计</t>
  </si>
  <si>
    <t>税收收入小计</t>
  </si>
  <si>
    <t>一、一般公共服务</t>
  </si>
  <si>
    <t>一、增值税</t>
  </si>
  <si>
    <t>二、外交</t>
  </si>
  <si>
    <t>二、企业所得税</t>
  </si>
  <si>
    <t>三、国防</t>
  </si>
  <si>
    <t>三、个人所得税</t>
  </si>
  <si>
    <t>四、公共安全</t>
  </si>
  <si>
    <t>四、资源税</t>
  </si>
  <si>
    <t>五、教育</t>
  </si>
  <si>
    <t>五、城市维护建设税</t>
  </si>
  <si>
    <t>六、科学技术</t>
  </si>
  <si>
    <t>六、房产税</t>
  </si>
  <si>
    <t>七、文化体育与传媒</t>
  </si>
  <si>
    <t>七、印花税</t>
  </si>
  <si>
    <t>八、社会保障和就业</t>
  </si>
  <si>
    <t>八、城镇土地使用税</t>
  </si>
  <si>
    <t>九、卫生健康支出</t>
  </si>
  <si>
    <t>九、土地增值税</t>
  </si>
  <si>
    <t>十、节能环保支出</t>
  </si>
  <si>
    <t>十、车船税</t>
  </si>
  <si>
    <t>十一、城乡社区事务</t>
  </si>
  <si>
    <t>十一、耕地占用税</t>
  </si>
  <si>
    <t>十二、农林水事务</t>
  </si>
  <si>
    <t>十二、契税</t>
  </si>
  <si>
    <t>十三、交通运输</t>
  </si>
  <si>
    <t>十三、烟叶税</t>
  </si>
  <si>
    <t>十四、资源勘探电力信息等事务</t>
  </si>
  <si>
    <t>十四、环境保护税</t>
  </si>
  <si>
    <t>十五、商业服务业等事务</t>
  </si>
  <si>
    <t>十五、其他税收收入</t>
  </si>
  <si>
    <t>十六、金融支出</t>
  </si>
  <si>
    <t>十七、援助其他地区支出</t>
  </si>
  <si>
    <t>非税收入小计</t>
  </si>
  <si>
    <t>十八、自然资源海洋气象等支出</t>
  </si>
  <si>
    <t>一、专项收入</t>
  </si>
  <si>
    <t>十九、住房保障支出</t>
  </si>
  <si>
    <t>二、行政事业性收费收入</t>
  </si>
  <si>
    <t>二十、粮油物资储备管理事务</t>
  </si>
  <si>
    <t>三、罚没收入</t>
  </si>
  <si>
    <t>二十一、灾害防治及应急管理支出</t>
  </si>
  <si>
    <t>四、国有资产经营收入</t>
  </si>
  <si>
    <t>二十二、其他支出</t>
  </si>
  <si>
    <t>五、国有资源（资产）有偿使用收入</t>
  </si>
  <si>
    <t>二十三、债务付息支出</t>
  </si>
  <si>
    <t>六、捐赠收入</t>
  </si>
  <si>
    <t>二十四、债务发行费用支出</t>
  </si>
  <si>
    <t>七、其他收入</t>
  </si>
  <si>
    <t>二十五、预备费</t>
  </si>
  <si>
    <t>政府性基金预算收入合计</t>
  </si>
  <si>
    <t>国有资本经营预算收入</t>
  </si>
  <si>
    <t>政府性基金预算支出合计</t>
  </si>
  <si>
    <t>国有资本经营预算支出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</si>
</sst>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);[Red]\(0\)"/>
    <numFmt numFmtId="177" formatCode="0_ "/>
    <numFmt numFmtId="41" formatCode="_ * #,##0_ ;_ * \-#,##0_ ;_ * &quot;-&quot;_ ;_ @_ "/>
    <numFmt numFmtId="178" formatCode="0_ ;[Red]\-0\ "/>
  </numFmts>
  <fonts count="34">
    <font>
      <sz val="12"/>
      <name val="宋体"/>
      <charset val="134"/>
    </font>
    <font>
      <b/>
      <sz val="24"/>
      <name val="黑体"/>
      <charset val="134"/>
    </font>
    <font>
      <b/>
      <sz val="12"/>
      <name val="宋体-18030"/>
      <charset val="134"/>
    </font>
    <font>
      <b/>
      <sz val="11"/>
      <name val="宋体-18030"/>
      <charset val="134"/>
    </font>
    <font>
      <b/>
      <sz val="14"/>
      <name val="宋体-18030"/>
      <charset val="134"/>
    </font>
    <font>
      <b/>
      <sz val="12"/>
      <name val="华文中宋"/>
      <charset val="134"/>
    </font>
    <font>
      <b/>
      <sz val="12"/>
      <name val="Times New Roman"/>
      <charset val="134"/>
    </font>
    <font>
      <sz val="12"/>
      <name val="华文中宋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b/>
      <sz val="22"/>
      <name val="宋体-18030"/>
      <charset val="134"/>
    </font>
    <font>
      <b/>
      <sz val="11"/>
      <name val="华文中宋"/>
      <charset val="134"/>
    </font>
    <font>
      <sz val="10"/>
      <name val="宋体"/>
      <charset val="134"/>
    </font>
    <font>
      <sz val="12"/>
      <name val="华文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16" borderId="11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15" borderId="12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/>
  </cellStyleXfs>
  <cellXfs count="8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0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0" fillId="0" borderId="0" xfId="0" applyNumberFormat="1" applyFill="1">
      <alignment vertical="center"/>
    </xf>
    <xf numFmtId="0" fontId="1" fillId="0" borderId="0" xfId="49" applyFont="1" applyFill="1" applyBorder="1" applyAlignment="1">
      <alignment horizontal="center" vertical="top"/>
    </xf>
    <xf numFmtId="10" fontId="1" fillId="0" borderId="0" xfId="49" applyNumberFormat="1" applyFont="1" applyFill="1" applyBorder="1" applyAlignment="1">
      <alignment horizontal="center" vertical="top"/>
    </xf>
    <xf numFmtId="0" fontId="2" fillId="0" borderId="0" xfId="49" applyFont="1" applyFill="1" applyBorder="1" applyAlignment="1"/>
    <xf numFmtId="0" fontId="3" fillId="0" borderId="0" xfId="49" applyFont="1" applyFill="1" applyBorder="1" applyAlignment="1"/>
    <xf numFmtId="10" fontId="4" fillId="0" borderId="0" xfId="49" applyNumberFormat="1" applyFont="1" applyFill="1" applyBorder="1" applyAlignment="1"/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41" fontId="6" fillId="0" borderId="1" xfId="49" applyNumberFormat="1" applyFont="1" applyFill="1" applyBorder="1" applyAlignment="1">
      <alignment vertical="center" wrapText="1"/>
    </xf>
    <xf numFmtId="41" fontId="6" fillId="0" borderId="1" xfId="49" applyNumberFormat="1" applyFont="1" applyFill="1" applyBorder="1" applyAlignment="1">
      <alignment vertical="center" wrapText="1"/>
    </xf>
    <xf numFmtId="10" fontId="6" fillId="0" borderId="1" xfId="49" applyNumberFormat="1" applyFont="1" applyFill="1" applyBorder="1" applyAlignment="1">
      <alignment vertical="center" wrapText="1"/>
    </xf>
    <xf numFmtId="0" fontId="5" fillId="0" borderId="1" xfId="49" applyFont="1" applyFill="1" applyBorder="1" applyAlignment="1">
      <alignment horizontal="center"/>
    </xf>
    <xf numFmtId="0" fontId="7" fillId="0" borderId="1" xfId="49" applyFont="1" applyFill="1" applyBorder="1"/>
    <xf numFmtId="41" fontId="8" fillId="0" borderId="1" xfId="49" applyNumberFormat="1" applyFont="1" applyFill="1" applyBorder="1" applyAlignment="1" applyProtection="1">
      <alignment vertical="center" wrapText="1"/>
    </xf>
    <xf numFmtId="41" fontId="8" fillId="0" borderId="1" xfId="49" applyNumberFormat="1" applyFont="1" applyFill="1" applyBorder="1" applyAlignment="1" applyProtection="1">
      <alignment vertical="center" wrapText="1"/>
    </xf>
    <xf numFmtId="10" fontId="8" fillId="0" borderId="1" xfId="49" applyNumberFormat="1" applyFont="1" applyFill="1" applyBorder="1" applyAlignment="1">
      <alignment vertical="center" wrapText="1"/>
    </xf>
    <xf numFmtId="41" fontId="8" fillId="0" borderId="1" xfId="49" applyNumberFormat="1" applyFont="1" applyFill="1" applyBorder="1" applyAlignment="1">
      <alignment vertical="center" wrapText="1"/>
    </xf>
    <xf numFmtId="41" fontId="8" fillId="0" borderId="1" xfId="49" applyNumberFormat="1" applyFont="1" applyFill="1" applyBorder="1" applyAlignment="1">
      <alignment vertical="center" wrapText="1"/>
    </xf>
    <xf numFmtId="41" fontId="8" fillId="0" borderId="1" xfId="0" applyNumberFormat="1" applyFont="1" applyFill="1" applyBorder="1" applyAlignment="1">
      <alignment vertical="center" wrapText="1"/>
    </xf>
    <xf numFmtId="0" fontId="7" fillId="0" borderId="4" xfId="49" applyFont="1" applyFill="1" applyBorder="1"/>
    <xf numFmtId="41" fontId="8" fillId="0" borderId="1" xfId="0" applyNumberFormat="1" applyFont="1" applyFill="1" applyBorder="1" applyAlignment="1">
      <alignment vertical="center"/>
    </xf>
    <xf numFmtId="41" fontId="8" fillId="0" borderId="1" xfId="0" applyNumberFormat="1" applyFont="1" applyFill="1" applyBorder="1" applyAlignment="1">
      <alignment vertical="center"/>
    </xf>
    <xf numFmtId="0" fontId="7" fillId="0" borderId="1" xfId="49" applyFont="1" applyFill="1" applyBorder="1" applyAlignment="1">
      <alignment horizontal="left"/>
    </xf>
    <xf numFmtId="176" fontId="8" fillId="0" borderId="1" xfId="49" applyNumberFormat="1" applyFont="1" applyFill="1" applyBorder="1" applyAlignment="1" applyProtection="1">
      <alignment vertical="center" wrapText="1"/>
    </xf>
    <xf numFmtId="176" fontId="8" fillId="0" borderId="1" xfId="49" applyNumberFormat="1" applyFont="1" applyFill="1" applyBorder="1" applyAlignment="1" applyProtection="1">
      <alignment vertical="center" wrapText="1"/>
    </xf>
    <xf numFmtId="0" fontId="8" fillId="0" borderId="1" xfId="49" applyFont="1" applyFill="1" applyBorder="1" applyAlignment="1" applyProtection="1">
      <alignment vertical="center" wrapText="1"/>
    </xf>
    <xf numFmtId="0" fontId="8" fillId="0" borderId="1" xfId="49" applyFont="1" applyFill="1" applyBorder="1" applyAlignment="1" applyProtection="1">
      <alignment vertical="center" wrapText="1"/>
    </xf>
    <xf numFmtId="0" fontId="5" fillId="0" borderId="1" xfId="49" applyFont="1" applyFill="1" applyBorder="1" applyAlignment="1">
      <alignment horizontal="center" vertical="center"/>
    </xf>
    <xf numFmtId="41" fontId="8" fillId="0" borderId="1" xfId="49" applyNumberFormat="1" applyFont="1" applyFill="1" applyBorder="1" applyAlignment="1">
      <alignment horizontal="center" vertical="center" wrapText="1"/>
    </xf>
    <xf numFmtId="41" fontId="8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0" xfId="49" applyFont="1" applyFill="1" applyBorder="1" applyAlignment="1">
      <alignment horizontal="center" vertical="center"/>
    </xf>
    <xf numFmtId="177" fontId="3" fillId="0" borderId="0" xfId="49" applyNumberFormat="1" applyFont="1" applyFill="1" applyBorder="1" applyAlignment="1"/>
    <xf numFmtId="10" fontId="3" fillId="0" borderId="0" xfId="49" applyNumberFormat="1" applyFont="1" applyFill="1" applyBorder="1" applyAlignment="1"/>
    <xf numFmtId="177" fontId="3" fillId="0" borderId="0" xfId="49" applyNumberFormat="1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7" fontId="5" fillId="0" borderId="1" xfId="49" applyNumberFormat="1" applyFont="1" applyFill="1" applyBorder="1" applyAlignment="1">
      <alignment horizontal="center" vertical="center" wrapText="1"/>
    </xf>
    <xf numFmtId="178" fontId="6" fillId="0" borderId="1" xfId="49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horizontal="right" vertical="center" wrapText="1"/>
    </xf>
    <xf numFmtId="178" fontId="6" fillId="0" borderId="1" xfId="49" applyNumberFormat="1" applyFont="1" applyFill="1" applyBorder="1" applyAlignment="1">
      <alignment vertical="center" wrapText="1"/>
    </xf>
    <xf numFmtId="41" fontId="9" fillId="0" borderId="4" xfId="0" applyNumberFormat="1" applyFont="1" applyFill="1" applyBorder="1" applyAlignment="1">
      <alignment horizontal="center" vertical="center"/>
    </xf>
    <xf numFmtId="3" fontId="8" fillId="0" borderId="1" xfId="49" applyNumberFormat="1" applyFont="1" applyFill="1" applyBorder="1" applyAlignment="1" applyProtection="1">
      <alignment vertical="center"/>
    </xf>
    <xf numFmtId="178" fontId="8" fillId="0" borderId="1" xfId="49" applyNumberFormat="1" applyFont="1" applyFill="1" applyBorder="1" applyAlignment="1">
      <alignment vertical="center" wrapText="1"/>
    </xf>
    <xf numFmtId="10" fontId="8" fillId="0" borderId="1" xfId="0" applyNumberFormat="1" applyFont="1" applyFill="1" applyBorder="1" applyAlignment="1">
      <alignment horizontal="right" vertical="center" wrapText="1"/>
    </xf>
    <xf numFmtId="178" fontId="8" fillId="0" borderId="1" xfId="49" applyNumberFormat="1" applyFont="1" applyFill="1" applyBorder="1" applyAlignment="1">
      <alignment vertical="center" wrapText="1"/>
    </xf>
    <xf numFmtId="41" fontId="8" fillId="0" borderId="1" xfId="0" applyNumberFormat="1" applyFont="1" applyFill="1" applyBorder="1" applyAlignment="1" applyProtection="1">
      <alignment horizontal="center" vertical="center" wrapText="1"/>
    </xf>
    <xf numFmtId="41" fontId="8" fillId="0" borderId="6" xfId="0" applyNumberFormat="1" applyFont="1" applyFill="1" applyBorder="1" applyAlignment="1" applyProtection="1">
      <alignment horizontal="center" vertical="center" wrapText="1"/>
    </xf>
    <xf numFmtId="3" fontId="8" fillId="0" borderId="1" xfId="49" applyNumberFormat="1" applyFont="1" applyFill="1" applyBorder="1" applyAlignment="1" applyProtection="1">
      <alignment vertical="center" wrapText="1"/>
    </xf>
    <xf numFmtId="0" fontId="8" fillId="0" borderId="0" xfId="0" applyFont="1" applyFill="1" applyAlignment="1">
      <alignment horizontal="center" vertical="center"/>
    </xf>
    <xf numFmtId="0" fontId="0" fillId="0" borderId="1" xfId="0" applyFont="1" applyFill="1" applyBorder="1">
      <alignment vertical="center"/>
    </xf>
    <xf numFmtId="41" fontId="8" fillId="0" borderId="1" xfId="8" applyNumberFormat="1" applyFont="1" applyFill="1" applyBorder="1" applyAlignment="1">
      <alignment horizontal="center" vertical="center" wrapText="1"/>
    </xf>
    <xf numFmtId="177" fontId="8" fillId="0" borderId="1" xfId="49" applyNumberFormat="1" applyFont="1" applyFill="1" applyBorder="1" applyAlignment="1">
      <alignment vertical="center" wrapText="1"/>
    </xf>
    <xf numFmtId="177" fontId="8" fillId="0" borderId="1" xfId="49" applyNumberFormat="1" applyFont="1" applyFill="1" applyBorder="1" applyAlignment="1">
      <alignment vertical="center" wrapText="1"/>
    </xf>
    <xf numFmtId="41" fontId="8" fillId="0" borderId="1" xfId="0" applyNumberFormat="1" applyFont="1" applyFill="1" applyBorder="1" applyAlignment="1">
      <alignment horizontal="center" vertical="center" wrapText="1"/>
    </xf>
    <xf numFmtId="10" fontId="1" fillId="0" borderId="0" xfId="49" applyNumberFormat="1" applyFont="1" applyFill="1" applyBorder="1" applyAlignment="1">
      <alignment horizontal="center" vertical="center"/>
    </xf>
    <xf numFmtId="0" fontId="10" fillId="0" borderId="0" xfId="49" applyNumberFormat="1" applyFont="1" applyFill="1" applyBorder="1" applyAlignment="1">
      <alignment horizontal="center"/>
    </xf>
    <xf numFmtId="177" fontId="2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/>
    <xf numFmtId="10" fontId="5" fillId="0" borderId="1" xfId="49" applyNumberFormat="1" applyFont="1" applyFill="1" applyBorder="1" applyAlignment="1">
      <alignment horizontal="center" vertical="center"/>
    </xf>
    <xf numFmtId="0" fontId="11" fillId="0" borderId="0" xfId="49" applyNumberFormat="1" applyFont="1" applyFill="1" applyBorder="1" applyAlignment="1">
      <alignment horizontal="center" vertical="center"/>
    </xf>
    <xf numFmtId="0" fontId="11" fillId="0" borderId="0" xfId="49" applyNumberFormat="1" applyFont="1" applyFill="1" applyBorder="1" applyAlignment="1">
      <alignment horizontal="center" vertical="center" wrapText="1"/>
    </xf>
    <xf numFmtId="10" fontId="8" fillId="0" borderId="1" xfId="49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2" fillId="0" borderId="0" xfId="49" applyNumberFormat="1" applyFont="1" applyFill="1" applyBorder="1" applyAlignment="1">
      <alignment wrapText="1"/>
    </xf>
    <xf numFmtId="41" fontId="8" fillId="0" borderId="1" xfId="49" applyNumberFormat="1" applyFont="1" applyFill="1" applyBorder="1" applyAlignment="1" applyProtection="1">
      <alignment vertical="center"/>
    </xf>
    <xf numFmtId="176" fontId="12" fillId="0" borderId="0" xfId="49" applyNumberFormat="1" applyFont="1" applyFill="1" applyBorder="1" applyAlignment="1">
      <alignment wrapText="1"/>
    </xf>
    <xf numFmtId="178" fontId="8" fillId="0" borderId="1" xfId="49" applyNumberFormat="1" applyFont="1" applyFill="1" applyBorder="1" applyAlignment="1">
      <alignment horizontal="center" vertical="center" wrapText="1"/>
    </xf>
    <xf numFmtId="177" fontId="13" fillId="0" borderId="0" xfId="0" applyNumberFormat="1" applyFont="1" applyFill="1" applyBorder="1" applyAlignment="1">
      <alignment horizontal="right" vertical="center" wrapText="1"/>
    </xf>
    <xf numFmtId="41" fontId="8" fillId="0" borderId="1" xfId="8" applyNumberFormat="1" applyFont="1" applyFill="1" applyBorder="1" applyAlignment="1">
      <alignment vertical="center" wrapText="1"/>
    </xf>
    <xf numFmtId="176" fontId="0" fillId="0" borderId="0" xfId="0" applyNumberForma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34"/>
  <sheetViews>
    <sheetView showGridLines="0" showZeros="0" tabSelected="1" workbookViewId="0">
      <pane xSplit="1" ySplit="1" topLeftCell="B2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" defaultRowHeight="14.25"/>
  <cols>
    <col min="1" max="1" width="28" style="1" customWidth="1"/>
    <col min="2" max="2" width="11.875" style="1" customWidth="1"/>
    <col min="3" max="3" width="12.375" style="1" customWidth="1"/>
    <col min="4" max="4" width="10.125" style="1" customWidth="1"/>
    <col min="5" max="5" width="9.625" style="1" customWidth="1"/>
    <col min="6" max="6" width="9.875" style="2" customWidth="1"/>
    <col min="7" max="7" width="9" style="3"/>
    <col min="8" max="8" width="10" style="2" customWidth="1"/>
    <col min="9" max="9" width="9.375" style="3"/>
    <col min="10" max="10" width="10.375" style="4" customWidth="1"/>
    <col min="11" max="11" width="10.25" style="3" customWidth="1"/>
    <col min="12" max="12" width="8.33333333333333" style="5" customWidth="1"/>
    <col min="13" max="13" width="13.25" style="3" customWidth="1"/>
    <col min="14" max="14" width="32" style="1" customWidth="1"/>
    <col min="15" max="15" width="10.875" style="6" customWidth="1"/>
    <col min="16" max="16" width="10.125" style="1" customWidth="1"/>
    <col min="17" max="17" width="11.25" style="1" customWidth="1"/>
    <col min="18" max="18" width="11.25" style="3" customWidth="1"/>
    <col min="19" max="19" width="12" style="7" customWidth="1"/>
    <col min="20" max="20" width="10.875" style="8" customWidth="1"/>
    <col min="21" max="21" width="16.75" style="9" customWidth="1"/>
    <col min="22" max="22" width="10.3333333333333" style="9" customWidth="1"/>
    <col min="23" max="23" width="10.0833333333333" style="9" customWidth="1"/>
    <col min="24" max="24" width="3.25" style="1" customWidth="1"/>
    <col min="25" max="25" width="12.75" style="1" customWidth="1"/>
    <col min="26" max="26" width="11.25" style="1" customWidth="1"/>
    <col min="27" max="16384" width="9" style="1"/>
  </cols>
  <sheetData>
    <row r="1" ht="31.5" spans="1:23">
      <c r="A1" s="10" t="s">
        <v>0</v>
      </c>
      <c r="B1" s="10"/>
      <c r="C1" s="10"/>
      <c r="D1" s="10"/>
      <c r="E1" s="10"/>
      <c r="F1" s="10"/>
      <c r="G1" s="11"/>
      <c r="H1" s="10"/>
      <c r="I1" s="11"/>
      <c r="J1" s="10"/>
      <c r="K1" s="11"/>
      <c r="L1" s="45"/>
      <c r="M1" s="11"/>
      <c r="N1" s="10"/>
      <c r="O1" s="45"/>
      <c r="P1" s="10"/>
      <c r="Q1" s="10"/>
      <c r="R1" s="11"/>
      <c r="S1" s="45"/>
      <c r="T1" s="69"/>
      <c r="U1" s="70"/>
      <c r="V1" s="70"/>
      <c r="W1" s="70"/>
    </row>
    <row r="2" ht="18.75" spans="1:23">
      <c r="A2" s="12" t="s">
        <v>1</v>
      </c>
      <c r="B2" s="13"/>
      <c r="C2" s="13"/>
      <c r="D2" s="13"/>
      <c r="E2" s="13"/>
      <c r="F2" s="13"/>
      <c r="G2" s="14"/>
      <c r="H2" s="13"/>
      <c r="I2" s="14"/>
      <c r="J2" s="46"/>
      <c r="K2" s="47"/>
      <c r="L2" s="48"/>
      <c r="M2" s="47"/>
      <c r="N2" s="12"/>
      <c r="O2" s="49"/>
      <c r="P2" s="13"/>
      <c r="Q2" s="13"/>
      <c r="R2" s="47"/>
      <c r="T2" s="71" t="s">
        <v>2</v>
      </c>
      <c r="U2" s="72"/>
      <c r="V2" s="72"/>
      <c r="W2" s="72"/>
    </row>
    <row r="3" ht="24" customHeight="1" spans="1:23">
      <c r="A3" s="15" t="s">
        <v>3</v>
      </c>
      <c r="B3" s="15" t="s">
        <v>4</v>
      </c>
      <c r="C3" s="15" t="s">
        <v>5</v>
      </c>
      <c r="D3" s="16" t="s">
        <v>6</v>
      </c>
      <c r="E3" s="15" t="s">
        <v>7</v>
      </c>
      <c r="F3" s="17" t="s">
        <v>8</v>
      </c>
      <c r="G3" s="18"/>
      <c r="H3" s="18"/>
      <c r="I3" s="50"/>
      <c r="J3" s="17" t="s">
        <v>9</v>
      </c>
      <c r="K3" s="18"/>
      <c r="L3" s="18"/>
      <c r="M3" s="50"/>
      <c r="N3" s="15" t="s">
        <v>3</v>
      </c>
      <c r="O3" s="15" t="s">
        <v>10</v>
      </c>
      <c r="P3" s="15" t="s">
        <v>6</v>
      </c>
      <c r="Q3" s="41" t="s">
        <v>8</v>
      </c>
      <c r="R3" s="73"/>
      <c r="S3" s="41" t="s">
        <v>9</v>
      </c>
      <c r="T3" s="73"/>
      <c r="U3" s="74"/>
      <c r="V3" s="74"/>
      <c r="W3" s="74"/>
    </row>
    <row r="4" ht="58" customHeight="1" spans="1:23">
      <c r="A4" s="15"/>
      <c r="B4" s="15"/>
      <c r="C4" s="15"/>
      <c r="D4" s="16"/>
      <c r="E4" s="15"/>
      <c r="F4" s="19" t="s">
        <v>11</v>
      </c>
      <c r="G4" s="20" t="s">
        <v>12</v>
      </c>
      <c r="H4" s="21" t="s">
        <v>13</v>
      </c>
      <c r="I4" s="20" t="s">
        <v>12</v>
      </c>
      <c r="J4" s="19" t="s">
        <v>14</v>
      </c>
      <c r="K4" s="20" t="s">
        <v>15</v>
      </c>
      <c r="L4" s="51" t="s">
        <v>16</v>
      </c>
      <c r="M4" s="20" t="s">
        <v>15</v>
      </c>
      <c r="N4" s="15"/>
      <c r="O4" s="15"/>
      <c r="P4" s="15"/>
      <c r="Q4" s="15" t="s">
        <v>17</v>
      </c>
      <c r="R4" s="20" t="s">
        <v>12</v>
      </c>
      <c r="S4" s="51" t="s">
        <v>18</v>
      </c>
      <c r="T4" s="20" t="s">
        <v>15</v>
      </c>
      <c r="U4" s="75"/>
      <c r="V4" s="75"/>
      <c r="W4" s="75"/>
    </row>
    <row r="5" ht="22" customHeight="1" spans="1:26">
      <c r="A5" s="15" t="s">
        <v>19</v>
      </c>
      <c r="B5" s="22">
        <f>SUM(B6+B32+B33)</f>
        <v>140839.666666667</v>
      </c>
      <c r="C5" s="22">
        <f t="shared" ref="C5:H5" si="0">SUM(C6+C32+C33)</f>
        <v>108756</v>
      </c>
      <c r="D5" s="23">
        <f t="shared" si="0"/>
        <v>81442</v>
      </c>
      <c r="E5" s="22">
        <f t="shared" si="0"/>
        <v>58281</v>
      </c>
      <c r="F5" s="23">
        <f t="shared" si="0"/>
        <v>90811</v>
      </c>
      <c r="G5" s="24">
        <f>F5/B5</f>
        <v>0.644782838168225</v>
      </c>
      <c r="H5" s="22">
        <f t="shared" si="0"/>
        <v>65222</v>
      </c>
      <c r="I5" s="24">
        <f>H5/C5</f>
        <v>0.59970944131818</v>
      </c>
      <c r="J5" s="52">
        <f>F5-D5</f>
        <v>9369</v>
      </c>
      <c r="K5" s="53">
        <f>J5/D5</f>
        <v>0.115038923405614</v>
      </c>
      <c r="L5" s="54">
        <f>H5-E5</f>
        <v>6941</v>
      </c>
      <c r="M5" s="53">
        <f>L5/E5</f>
        <v>0.119095417031279</v>
      </c>
      <c r="N5" s="41" t="s">
        <v>20</v>
      </c>
      <c r="O5" s="42">
        <f>O6+O33+O34</f>
        <v>498914</v>
      </c>
      <c r="P5" s="42">
        <f>P6+P33+P34</f>
        <v>554730</v>
      </c>
      <c r="Q5" s="30">
        <f>Q6+Q33+Q34</f>
        <v>468851</v>
      </c>
      <c r="R5" s="76">
        <f>IF(O5=0,"",Q5/O5)</f>
        <v>0.939743122061117</v>
      </c>
      <c r="S5" s="77">
        <f>S6+S33+S34</f>
        <v>-85879</v>
      </c>
      <c r="T5" s="76">
        <f>IF(P5=0,"",S5/P5)</f>
        <v>-0.154812251004993</v>
      </c>
      <c r="U5" s="78"/>
      <c r="V5" s="78"/>
      <c r="W5" s="78"/>
      <c r="Z5" s="78"/>
    </row>
    <row r="6" ht="22" customHeight="1" spans="1:26">
      <c r="A6" s="25" t="s">
        <v>21</v>
      </c>
      <c r="B6" s="22">
        <f>B7+B24</f>
        <v>98244.6666666666</v>
      </c>
      <c r="C6" s="22">
        <f t="shared" ref="C6:H6" si="1">C7+C24</f>
        <v>66161</v>
      </c>
      <c r="D6" s="23">
        <f t="shared" si="1"/>
        <v>72998</v>
      </c>
      <c r="E6" s="22">
        <f t="shared" si="1"/>
        <v>49837</v>
      </c>
      <c r="F6" s="23">
        <f t="shared" si="1"/>
        <v>75639</v>
      </c>
      <c r="G6" s="24">
        <f t="shared" ref="G6:G34" si="2">F6/B6</f>
        <v>0.769904388363745</v>
      </c>
      <c r="H6" s="22">
        <f t="shared" si="1"/>
        <v>50050</v>
      </c>
      <c r="I6" s="24">
        <f t="shared" ref="I6:I33" si="3">H6/C6</f>
        <v>0.756487961185593</v>
      </c>
      <c r="J6" s="52">
        <f t="shared" ref="J6:J33" si="4">F6-D6</f>
        <v>2641</v>
      </c>
      <c r="K6" s="53">
        <f t="shared" ref="K6:K33" si="5">J6/D6</f>
        <v>0.0361790733992712</v>
      </c>
      <c r="L6" s="54">
        <f t="shared" ref="L6:L33" si="6">H6-E6</f>
        <v>213</v>
      </c>
      <c r="M6" s="53">
        <f t="shared" ref="M6:M33" si="7">L6/E6</f>
        <v>0.00427393302165058</v>
      </c>
      <c r="N6" s="25" t="s">
        <v>22</v>
      </c>
      <c r="O6" s="42">
        <f>SUM(O7:O31)</f>
        <v>433689</v>
      </c>
      <c r="P6" s="42">
        <f>SUM(P7:P31)</f>
        <v>463491</v>
      </c>
      <c r="Q6" s="30">
        <f>SUM(Q7:Q31)</f>
        <v>406054</v>
      </c>
      <c r="R6" s="76">
        <f>IF(O6=0,"",Q6/O6)</f>
        <v>0.936279223129939</v>
      </c>
      <c r="S6" s="77">
        <f>SUM(S7:S30)</f>
        <v>-57437</v>
      </c>
      <c r="T6" s="76">
        <f t="shared" ref="T6:T37" si="8">IF(P6=0,"",S6/P6)</f>
        <v>-0.123922578863451</v>
      </c>
      <c r="U6" s="78"/>
      <c r="V6" s="78"/>
      <c r="W6" s="78"/>
      <c r="Y6" s="84"/>
      <c r="Z6" s="78"/>
    </row>
    <row r="7" ht="22" customHeight="1" spans="1:26">
      <c r="A7" s="25" t="s">
        <v>23</v>
      </c>
      <c r="B7" s="22">
        <f>SUM(B8:B22)</f>
        <v>64810</v>
      </c>
      <c r="C7" s="22">
        <f t="shared" ref="C7:H7" si="9">SUM(C8:C22)</f>
        <v>39697</v>
      </c>
      <c r="D7" s="23">
        <f t="shared" si="9"/>
        <v>32072</v>
      </c>
      <c r="E7" s="22">
        <f t="shared" si="9"/>
        <v>18263</v>
      </c>
      <c r="F7" s="23">
        <f t="shared" si="9"/>
        <v>39741</v>
      </c>
      <c r="G7" s="24">
        <f t="shared" si="2"/>
        <v>0.613192408578923</v>
      </c>
      <c r="H7" s="22">
        <f>SUM(H8:H22)</f>
        <v>23009</v>
      </c>
      <c r="I7" s="24">
        <f t="shared" si="3"/>
        <v>0.579615588079704</v>
      </c>
      <c r="J7" s="52">
        <f t="shared" si="4"/>
        <v>7669</v>
      </c>
      <c r="K7" s="53">
        <f t="shared" si="5"/>
        <v>0.239118233973559</v>
      </c>
      <c r="L7" s="54">
        <f t="shared" si="6"/>
        <v>4746</v>
      </c>
      <c r="M7" s="53">
        <f t="shared" si="7"/>
        <v>0.259869681870448</v>
      </c>
      <c r="N7" s="26" t="s">
        <v>24</v>
      </c>
      <c r="O7" s="55">
        <v>59037</v>
      </c>
      <c r="P7" s="56">
        <v>57454</v>
      </c>
      <c r="Q7" s="79">
        <v>54721</v>
      </c>
      <c r="R7" s="76">
        <f>IF(O7=0,"",Q7/O7)</f>
        <v>0.926893304199062</v>
      </c>
      <c r="S7" s="77">
        <f>Q7-P7</f>
        <v>-2733</v>
      </c>
      <c r="T7" s="76">
        <f t="shared" si="8"/>
        <v>-0.0475684895742681</v>
      </c>
      <c r="U7" s="78"/>
      <c r="V7" s="78"/>
      <c r="W7" s="78"/>
      <c r="Z7" s="78"/>
    </row>
    <row r="8" ht="22" customHeight="1" spans="1:26">
      <c r="A8" s="26" t="s">
        <v>25</v>
      </c>
      <c r="B8" s="27">
        <f>(C8/0.25)*0.5-5300</f>
        <v>21224</v>
      </c>
      <c r="C8" s="27">
        <v>13262</v>
      </c>
      <c r="D8" s="28">
        <f>E8+4526+1130-145</f>
        <v>10798</v>
      </c>
      <c r="E8" s="27">
        <v>5287</v>
      </c>
      <c r="F8" s="28">
        <f>H8+5791+1351-279</f>
        <v>13444</v>
      </c>
      <c r="G8" s="29">
        <f t="shared" si="2"/>
        <v>0.633433848473426</v>
      </c>
      <c r="H8" s="27">
        <v>6581</v>
      </c>
      <c r="I8" s="29">
        <f t="shared" si="3"/>
        <v>0.496229829588297</v>
      </c>
      <c r="J8" s="57">
        <f t="shared" si="4"/>
        <v>2646</v>
      </c>
      <c r="K8" s="58">
        <f t="shared" si="5"/>
        <v>0.245045378773847</v>
      </c>
      <c r="L8" s="59">
        <f t="shared" si="6"/>
        <v>1294</v>
      </c>
      <c r="M8" s="58">
        <f t="shared" si="7"/>
        <v>0.244751276716474</v>
      </c>
      <c r="N8" s="26" t="s">
        <v>26</v>
      </c>
      <c r="O8" s="60">
        <v>0</v>
      </c>
      <c r="P8" s="56">
        <v>0</v>
      </c>
      <c r="Q8" s="79">
        <v>0</v>
      </c>
      <c r="R8" s="76" t="str">
        <f t="shared" ref="R8:R37" si="10">IF(O8=0,"",Q8/O8)</f>
        <v/>
      </c>
      <c r="S8" s="77">
        <f t="shared" ref="S8:S37" si="11">Q8-P8</f>
        <v>0</v>
      </c>
      <c r="T8" s="76" t="str">
        <f t="shared" si="8"/>
        <v/>
      </c>
      <c r="U8" s="78"/>
      <c r="V8" s="78"/>
      <c r="W8" s="80"/>
      <c r="Y8" s="84"/>
      <c r="Z8" s="78"/>
    </row>
    <row r="9" ht="22" customHeight="1" spans="1:23">
      <c r="A9" s="26" t="s">
        <v>27</v>
      </c>
      <c r="B9" s="27">
        <f>(C9/0.15)*0.4</f>
        <v>14816</v>
      </c>
      <c r="C9" s="27">
        <v>5556</v>
      </c>
      <c r="D9" s="28">
        <f>E9+3818+955</f>
        <v>7637</v>
      </c>
      <c r="E9" s="30">
        <v>2864</v>
      </c>
      <c r="F9" s="31">
        <f>H9+3378+845</f>
        <v>6757</v>
      </c>
      <c r="G9" s="29">
        <f t="shared" si="2"/>
        <v>0.45606101511879</v>
      </c>
      <c r="H9" s="30">
        <v>2534</v>
      </c>
      <c r="I9" s="29">
        <f t="shared" si="3"/>
        <v>0.456083513318934</v>
      </c>
      <c r="J9" s="57">
        <f t="shared" si="4"/>
        <v>-880</v>
      </c>
      <c r="K9" s="58">
        <f t="shared" si="5"/>
        <v>-0.11522849286369</v>
      </c>
      <c r="L9" s="59">
        <f t="shared" si="6"/>
        <v>-330</v>
      </c>
      <c r="M9" s="58">
        <f t="shared" si="7"/>
        <v>-0.115223463687151</v>
      </c>
      <c r="N9" s="26" t="s">
        <v>28</v>
      </c>
      <c r="O9" s="61">
        <v>53</v>
      </c>
      <c r="P9" s="56">
        <v>511</v>
      </c>
      <c r="Q9" s="79">
        <v>2240</v>
      </c>
      <c r="R9" s="76">
        <f t="shared" si="10"/>
        <v>42.2641509433962</v>
      </c>
      <c r="S9" s="77">
        <f t="shared" si="11"/>
        <v>1729</v>
      </c>
      <c r="T9" s="76">
        <f t="shared" si="8"/>
        <v>3.38356164383562</v>
      </c>
      <c r="U9" s="78"/>
      <c r="V9" s="78"/>
      <c r="W9" s="78"/>
    </row>
    <row r="10" ht="22" customHeight="1" spans="1:23">
      <c r="A10" s="26" t="s">
        <v>29</v>
      </c>
      <c r="B10" s="27">
        <f>(C10/0.15)*0.4</f>
        <v>9080</v>
      </c>
      <c r="C10" s="27">
        <v>3405</v>
      </c>
      <c r="D10" s="28">
        <f>E10+520+130</f>
        <v>1040</v>
      </c>
      <c r="E10" s="27">
        <v>390</v>
      </c>
      <c r="F10" s="31">
        <f>H10+1598+400</f>
        <v>3197</v>
      </c>
      <c r="G10" s="29">
        <f t="shared" si="2"/>
        <v>0.352092511013216</v>
      </c>
      <c r="H10" s="30">
        <v>1199</v>
      </c>
      <c r="I10" s="29">
        <f t="shared" si="3"/>
        <v>0.352129221732746</v>
      </c>
      <c r="J10" s="57">
        <f t="shared" si="4"/>
        <v>2157</v>
      </c>
      <c r="K10" s="58">
        <f t="shared" si="5"/>
        <v>2.07403846153846</v>
      </c>
      <c r="L10" s="59">
        <f t="shared" si="6"/>
        <v>809</v>
      </c>
      <c r="M10" s="58">
        <f t="shared" si="7"/>
        <v>2.07435897435897</v>
      </c>
      <c r="N10" s="26" t="s">
        <v>30</v>
      </c>
      <c r="O10" s="60">
        <v>38143</v>
      </c>
      <c r="P10" s="56">
        <v>36771</v>
      </c>
      <c r="Q10" s="79">
        <v>29971</v>
      </c>
      <c r="R10" s="76">
        <f t="shared" si="10"/>
        <v>0.785753611409695</v>
      </c>
      <c r="S10" s="77">
        <f t="shared" si="11"/>
        <v>-6800</v>
      </c>
      <c r="T10" s="76">
        <f t="shared" si="8"/>
        <v>-0.184928340268146</v>
      </c>
      <c r="U10" s="78"/>
      <c r="V10" s="78"/>
      <c r="W10" s="78"/>
    </row>
    <row r="11" ht="22" customHeight="1" spans="1:23">
      <c r="A11" s="26" t="s">
        <v>31</v>
      </c>
      <c r="B11" s="27">
        <f>C11*2-4057</f>
        <v>8489</v>
      </c>
      <c r="C11" s="27">
        <v>6273</v>
      </c>
      <c r="D11" s="28">
        <f>E11+2875</f>
        <v>5750</v>
      </c>
      <c r="E11" s="27">
        <v>2875</v>
      </c>
      <c r="F11" s="28">
        <f>H11+3648</f>
        <v>7273</v>
      </c>
      <c r="G11" s="29">
        <f t="shared" si="2"/>
        <v>0.856755801625633</v>
      </c>
      <c r="H11" s="27">
        <v>3625</v>
      </c>
      <c r="I11" s="29">
        <f t="shared" si="3"/>
        <v>0.577873425793081</v>
      </c>
      <c r="J11" s="57">
        <f t="shared" si="4"/>
        <v>1523</v>
      </c>
      <c r="K11" s="58">
        <f t="shared" si="5"/>
        <v>0.264869565217391</v>
      </c>
      <c r="L11" s="59">
        <f t="shared" si="6"/>
        <v>750</v>
      </c>
      <c r="M11" s="58">
        <f t="shared" si="7"/>
        <v>0.260869565217391</v>
      </c>
      <c r="N11" s="26" t="s">
        <v>32</v>
      </c>
      <c r="O11" s="60">
        <v>120018</v>
      </c>
      <c r="P11" s="56">
        <v>149152</v>
      </c>
      <c r="Q11" s="79">
        <v>121308</v>
      </c>
      <c r="R11" s="76">
        <f t="shared" si="10"/>
        <v>1.01074838774184</v>
      </c>
      <c r="S11" s="77">
        <f t="shared" si="11"/>
        <v>-27844</v>
      </c>
      <c r="T11" s="76">
        <f t="shared" si="8"/>
        <v>-0.186682042480154</v>
      </c>
      <c r="U11" s="78"/>
      <c r="V11" s="78"/>
      <c r="W11" s="78"/>
    </row>
    <row r="12" ht="22" customHeight="1" spans="1:26">
      <c r="A12" s="26" t="s">
        <v>33</v>
      </c>
      <c r="B12" s="27">
        <f>C12</f>
        <v>1971</v>
      </c>
      <c r="C12" s="27">
        <v>1971</v>
      </c>
      <c r="D12" s="28">
        <f>E12</f>
        <v>753</v>
      </c>
      <c r="E12" s="27">
        <v>753</v>
      </c>
      <c r="F12" s="28">
        <f>H12</f>
        <v>904</v>
      </c>
      <c r="G12" s="29">
        <f t="shared" si="2"/>
        <v>0.458650431253171</v>
      </c>
      <c r="H12" s="27">
        <v>904</v>
      </c>
      <c r="I12" s="29">
        <f t="shared" si="3"/>
        <v>0.458650431253171</v>
      </c>
      <c r="J12" s="57">
        <f t="shared" si="4"/>
        <v>151</v>
      </c>
      <c r="K12" s="58">
        <f t="shared" si="5"/>
        <v>0.200531208499336</v>
      </c>
      <c r="L12" s="59">
        <f t="shared" si="6"/>
        <v>151</v>
      </c>
      <c r="M12" s="58">
        <f t="shared" si="7"/>
        <v>0.200531208499336</v>
      </c>
      <c r="N12" s="26" t="s">
        <v>34</v>
      </c>
      <c r="O12" s="60">
        <v>188</v>
      </c>
      <c r="P12" s="56">
        <v>184</v>
      </c>
      <c r="Q12" s="79">
        <v>480</v>
      </c>
      <c r="R12" s="76">
        <f t="shared" si="10"/>
        <v>2.5531914893617</v>
      </c>
      <c r="S12" s="77">
        <f t="shared" si="11"/>
        <v>296</v>
      </c>
      <c r="T12" s="76">
        <f t="shared" si="8"/>
        <v>1.60869565217391</v>
      </c>
      <c r="U12" s="78"/>
      <c r="V12" s="78"/>
      <c r="W12" s="78"/>
      <c r="X12" s="78"/>
      <c r="Y12" s="78"/>
      <c r="Z12" s="78"/>
    </row>
    <row r="13" ht="22" customHeight="1" spans="1:23">
      <c r="A13" s="26" t="s">
        <v>35</v>
      </c>
      <c r="B13" s="27">
        <f t="shared" ref="B13:B19" si="12">C13</f>
        <v>1792</v>
      </c>
      <c r="C13" s="27">
        <v>1792</v>
      </c>
      <c r="D13" s="28">
        <f t="shared" ref="D13:D19" si="13">E13</f>
        <v>1622</v>
      </c>
      <c r="E13" s="27">
        <v>1622</v>
      </c>
      <c r="F13" s="28">
        <f t="shared" ref="F13:F19" si="14">H13</f>
        <v>1027</v>
      </c>
      <c r="G13" s="29">
        <f t="shared" si="2"/>
        <v>0.573102678571429</v>
      </c>
      <c r="H13" s="27">
        <v>1027</v>
      </c>
      <c r="I13" s="29">
        <f t="shared" si="3"/>
        <v>0.573102678571429</v>
      </c>
      <c r="J13" s="57">
        <f t="shared" si="4"/>
        <v>-595</v>
      </c>
      <c r="K13" s="58">
        <f t="shared" si="5"/>
        <v>-0.366831072749692</v>
      </c>
      <c r="L13" s="59">
        <f t="shared" si="6"/>
        <v>-595</v>
      </c>
      <c r="M13" s="58">
        <f t="shared" si="7"/>
        <v>-0.366831072749692</v>
      </c>
      <c r="N13" s="26" t="s">
        <v>36</v>
      </c>
      <c r="O13" s="60">
        <v>3007</v>
      </c>
      <c r="P13" s="56">
        <v>3779</v>
      </c>
      <c r="Q13" s="79">
        <v>2826</v>
      </c>
      <c r="R13" s="76">
        <f t="shared" si="10"/>
        <v>0.939807116727636</v>
      </c>
      <c r="S13" s="77">
        <f t="shared" si="11"/>
        <v>-953</v>
      </c>
      <c r="T13" s="76">
        <f t="shared" si="8"/>
        <v>-0.25218311722678</v>
      </c>
      <c r="U13" s="78"/>
      <c r="V13" s="78"/>
      <c r="W13" s="78"/>
    </row>
    <row r="14" ht="22" customHeight="1" spans="1:23">
      <c r="A14" s="26" t="s">
        <v>37</v>
      </c>
      <c r="B14" s="27">
        <f t="shared" si="12"/>
        <v>1434</v>
      </c>
      <c r="C14" s="27">
        <v>1434</v>
      </c>
      <c r="D14" s="28">
        <f t="shared" si="13"/>
        <v>678</v>
      </c>
      <c r="E14" s="27">
        <v>678</v>
      </c>
      <c r="F14" s="28">
        <f t="shared" si="14"/>
        <v>554</v>
      </c>
      <c r="G14" s="29">
        <f t="shared" si="2"/>
        <v>0.386331938633194</v>
      </c>
      <c r="H14" s="27">
        <v>554</v>
      </c>
      <c r="I14" s="29">
        <f t="shared" si="3"/>
        <v>0.386331938633194</v>
      </c>
      <c r="J14" s="57">
        <f t="shared" si="4"/>
        <v>-124</v>
      </c>
      <c r="K14" s="58">
        <f t="shared" si="5"/>
        <v>-0.182890855457227</v>
      </c>
      <c r="L14" s="59">
        <f t="shared" si="6"/>
        <v>-124</v>
      </c>
      <c r="M14" s="58">
        <f t="shared" si="7"/>
        <v>-0.182890855457227</v>
      </c>
      <c r="N14" s="26" t="s">
        <v>38</v>
      </c>
      <c r="O14" s="60">
        <v>69698</v>
      </c>
      <c r="P14" s="56">
        <v>47216</v>
      </c>
      <c r="Q14" s="79">
        <v>57064</v>
      </c>
      <c r="R14" s="76">
        <f t="shared" si="10"/>
        <v>0.818732244827685</v>
      </c>
      <c r="S14" s="81">
        <f t="shared" si="11"/>
        <v>9848</v>
      </c>
      <c r="T14" s="76">
        <f t="shared" si="8"/>
        <v>0.20857336496103</v>
      </c>
      <c r="U14" s="78"/>
      <c r="V14" s="78"/>
      <c r="W14" s="78"/>
    </row>
    <row r="15" ht="22" customHeight="1" spans="1:23">
      <c r="A15" s="26" t="s">
        <v>39</v>
      </c>
      <c r="B15" s="27">
        <f t="shared" si="12"/>
        <v>538</v>
      </c>
      <c r="C15" s="27">
        <v>538</v>
      </c>
      <c r="D15" s="28">
        <f t="shared" si="13"/>
        <v>516</v>
      </c>
      <c r="E15" s="27">
        <v>516</v>
      </c>
      <c r="F15" s="28">
        <f t="shared" si="14"/>
        <v>413</v>
      </c>
      <c r="G15" s="29">
        <f t="shared" si="2"/>
        <v>0.767657992565056</v>
      </c>
      <c r="H15" s="27">
        <v>413</v>
      </c>
      <c r="I15" s="29">
        <f t="shared" si="3"/>
        <v>0.767657992565056</v>
      </c>
      <c r="J15" s="57">
        <f t="shared" si="4"/>
        <v>-103</v>
      </c>
      <c r="K15" s="58">
        <f t="shared" si="5"/>
        <v>-0.199612403100775</v>
      </c>
      <c r="L15" s="59">
        <f t="shared" si="6"/>
        <v>-103</v>
      </c>
      <c r="M15" s="58">
        <f t="shared" si="7"/>
        <v>-0.199612403100775</v>
      </c>
      <c r="N15" s="26" t="s">
        <v>40</v>
      </c>
      <c r="O15" s="61">
        <v>32684</v>
      </c>
      <c r="P15" s="56">
        <v>28219</v>
      </c>
      <c r="Q15" s="79">
        <v>31570</v>
      </c>
      <c r="R15" s="76">
        <f t="shared" si="10"/>
        <v>0.965916044547791</v>
      </c>
      <c r="S15" s="77">
        <f t="shared" si="11"/>
        <v>3351</v>
      </c>
      <c r="T15" s="76">
        <f t="shared" si="8"/>
        <v>0.11874977851802</v>
      </c>
      <c r="U15" s="78"/>
      <c r="V15" s="78"/>
      <c r="W15" s="78"/>
    </row>
    <row r="16" ht="22" customHeight="1" spans="1:23">
      <c r="A16" s="26" t="s">
        <v>41</v>
      </c>
      <c r="B16" s="27">
        <f t="shared" si="12"/>
        <v>1613</v>
      </c>
      <c r="C16" s="27">
        <v>1613</v>
      </c>
      <c r="D16" s="28">
        <f t="shared" si="13"/>
        <v>763</v>
      </c>
      <c r="E16" s="27">
        <v>763</v>
      </c>
      <c r="F16" s="28">
        <f t="shared" si="14"/>
        <v>1544</v>
      </c>
      <c r="G16" s="29">
        <f t="shared" si="2"/>
        <v>0.957222566646001</v>
      </c>
      <c r="H16" s="27">
        <v>1544</v>
      </c>
      <c r="I16" s="29">
        <f t="shared" si="3"/>
        <v>0.957222566646001</v>
      </c>
      <c r="J16" s="57">
        <f t="shared" si="4"/>
        <v>781</v>
      </c>
      <c r="K16" s="58">
        <f t="shared" si="5"/>
        <v>1.02359108781127</v>
      </c>
      <c r="L16" s="59">
        <f t="shared" si="6"/>
        <v>781</v>
      </c>
      <c r="M16" s="58">
        <f t="shared" si="7"/>
        <v>1.02359108781127</v>
      </c>
      <c r="N16" s="26" t="s">
        <v>42</v>
      </c>
      <c r="O16" s="60">
        <v>2042</v>
      </c>
      <c r="P16" s="56">
        <v>3184</v>
      </c>
      <c r="Q16" s="79">
        <v>1810</v>
      </c>
      <c r="R16" s="76">
        <f t="shared" si="10"/>
        <v>0.886385896180215</v>
      </c>
      <c r="S16" s="81">
        <f t="shared" si="11"/>
        <v>-1374</v>
      </c>
      <c r="T16" s="76">
        <f t="shared" si="8"/>
        <v>-0.431532663316583</v>
      </c>
      <c r="U16" s="78"/>
      <c r="V16" s="78"/>
      <c r="W16" s="78"/>
    </row>
    <row r="17" ht="22" customHeight="1" spans="1:23">
      <c r="A17" s="26" t="s">
        <v>43</v>
      </c>
      <c r="B17" s="27">
        <f t="shared" si="12"/>
        <v>2151</v>
      </c>
      <c r="C17" s="27">
        <v>2151</v>
      </c>
      <c r="D17" s="28">
        <f t="shared" si="13"/>
        <v>945</v>
      </c>
      <c r="E17" s="27">
        <v>945</v>
      </c>
      <c r="F17" s="28">
        <f t="shared" si="14"/>
        <v>973</v>
      </c>
      <c r="G17" s="29">
        <f t="shared" si="2"/>
        <v>0.452347745234775</v>
      </c>
      <c r="H17" s="27">
        <v>973</v>
      </c>
      <c r="I17" s="29">
        <f t="shared" si="3"/>
        <v>0.452347745234775</v>
      </c>
      <c r="J17" s="57">
        <f t="shared" si="4"/>
        <v>28</v>
      </c>
      <c r="K17" s="58">
        <f t="shared" si="5"/>
        <v>0.0296296296296296</v>
      </c>
      <c r="L17" s="59">
        <f t="shared" si="6"/>
        <v>28</v>
      </c>
      <c r="M17" s="58">
        <f t="shared" si="7"/>
        <v>0.0296296296296296</v>
      </c>
      <c r="N17" s="26" t="s">
        <v>44</v>
      </c>
      <c r="O17" s="60">
        <v>1238</v>
      </c>
      <c r="P17" s="56">
        <v>9691</v>
      </c>
      <c r="Q17" s="79">
        <v>2529</v>
      </c>
      <c r="R17" s="76">
        <f t="shared" si="10"/>
        <v>2.04281098546042</v>
      </c>
      <c r="S17" s="77">
        <f t="shared" si="11"/>
        <v>-7162</v>
      </c>
      <c r="T17" s="76">
        <f t="shared" si="8"/>
        <v>-0.739036219172428</v>
      </c>
      <c r="U17" s="78"/>
      <c r="V17" s="78"/>
      <c r="W17" s="78"/>
    </row>
    <row r="18" ht="22" customHeight="1" spans="1:23">
      <c r="A18" s="26" t="s">
        <v>45</v>
      </c>
      <c r="B18" s="27">
        <f t="shared" si="12"/>
        <v>0</v>
      </c>
      <c r="C18" s="27"/>
      <c r="D18" s="28">
        <f t="shared" si="13"/>
        <v>853</v>
      </c>
      <c r="E18" s="27">
        <v>853</v>
      </c>
      <c r="F18" s="28">
        <f t="shared" si="14"/>
        <v>1236</v>
      </c>
      <c r="G18" s="29" t="e">
        <f t="shared" si="2"/>
        <v>#DIV/0!</v>
      </c>
      <c r="H18" s="27">
        <v>1236</v>
      </c>
      <c r="I18" s="29" t="e">
        <f t="shared" si="3"/>
        <v>#DIV/0!</v>
      </c>
      <c r="J18" s="57">
        <f t="shared" si="4"/>
        <v>383</v>
      </c>
      <c r="K18" s="58">
        <f t="shared" si="5"/>
        <v>0.449003516998828</v>
      </c>
      <c r="L18" s="59">
        <f t="shared" si="6"/>
        <v>383</v>
      </c>
      <c r="M18" s="58">
        <f t="shared" si="7"/>
        <v>0.449003516998828</v>
      </c>
      <c r="N18" s="26" t="s">
        <v>46</v>
      </c>
      <c r="O18" s="60">
        <v>40865</v>
      </c>
      <c r="P18" s="56">
        <v>87911</v>
      </c>
      <c r="Q18" s="79">
        <v>69318</v>
      </c>
      <c r="R18" s="76">
        <f t="shared" si="10"/>
        <v>1.6962682001713</v>
      </c>
      <c r="S18" s="81">
        <f t="shared" si="11"/>
        <v>-18593</v>
      </c>
      <c r="T18" s="76">
        <f t="shared" si="8"/>
        <v>-0.211497992287655</v>
      </c>
      <c r="U18" s="78"/>
      <c r="V18" s="78"/>
      <c r="W18" s="78"/>
    </row>
    <row r="19" ht="22" customHeight="1" spans="1:23">
      <c r="A19" s="26" t="s">
        <v>47</v>
      </c>
      <c r="B19" s="27">
        <f t="shared" si="12"/>
        <v>1702</v>
      </c>
      <c r="C19" s="27">
        <v>1702</v>
      </c>
      <c r="D19" s="28">
        <f t="shared" si="13"/>
        <v>717</v>
      </c>
      <c r="E19" s="27">
        <v>717</v>
      </c>
      <c r="F19" s="28">
        <f t="shared" si="14"/>
        <v>2419</v>
      </c>
      <c r="G19" s="29">
        <f t="shared" si="2"/>
        <v>1.42126909518214</v>
      </c>
      <c r="H19" s="27">
        <v>2419</v>
      </c>
      <c r="I19" s="29">
        <f t="shared" si="3"/>
        <v>1.42126909518214</v>
      </c>
      <c r="J19" s="57">
        <f t="shared" si="4"/>
        <v>1702</v>
      </c>
      <c r="K19" s="58">
        <f t="shared" si="5"/>
        <v>2.37377963737796</v>
      </c>
      <c r="L19" s="59">
        <f t="shared" si="6"/>
        <v>1702</v>
      </c>
      <c r="M19" s="58">
        <f t="shared" si="7"/>
        <v>2.37377963737796</v>
      </c>
      <c r="N19" s="26" t="s">
        <v>48</v>
      </c>
      <c r="O19" s="60">
        <v>2043</v>
      </c>
      <c r="P19" s="56">
        <v>5864</v>
      </c>
      <c r="Q19" s="79">
        <v>2291</v>
      </c>
      <c r="R19" s="76">
        <f t="shared" si="10"/>
        <v>1.12139011257954</v>
      </c>
      <c r="S19" s="81">
        <f t="shared" si="11"/>
        <v>-3573</v>
      </c>
      <c r="T19" s="76">
        <f t="shared" si="8"/>
        <v>-0.60931105047749</v>
      </c>
      <c r="U19" s="78"/>
      <c r="V19" s="78"/>
      <c r="W19" s="78"/>
    </row>
    <row r="20" ht="22" customHeight="1" spans="1:23">
      <c r="A20" s="26" t="s">
        <v>49</v>
      </c>
      <c r="B20" s="32"/>
      <c r="C20" s="32"/>
      <c r="D20" s="28"/>
      <c r="E20" s="27"/>
      <c r="F20" s="28"/>
      <c r="G20" s="29"/>
      <c r="H20" s="27"/>
      <c r="I20" s="29"/>
      <c r="J20" s="57"/>
      <c r="K20" s="58"/>
      <c r="L20" s="59"/>
      <c r="M20" s="58"/>
      <c r="N20" s="26" t="s">
        <v>50</v>
      </c>
      <c r="O20" s="60">
        <v>0</v>
      </c>
      <c r="P20" s="56">
        <v>6750</v>
      </c>
      <c r="Q20" s="79">
        <v>659</v>
      </c>
      <c r="R20" s="76" t="str">
        <f t="shared" si="10"/>
        <v/>
      </c>
      <c r="S20" s="81">
        <f t="shared" si="11"/>
        <v>-6091</v>
      </c>
      <c r="T20" s="76">
        <f t="shared" si="8"/>
        <v>-0.90237037037037</v>
      </c>
      <c r="U20" s="78"/>
      <c r="V20" s="78"/>
      <c r="W20" s="78"/>
    </row>
    <row r="21" ht="22" customHeight="1" spans="1:23">
      <c r="A21" s="33" t="s">
        <v>51</v>
      </c>
      <c r="B21" s="34"/>
      <c r="C21" s="34"/>
      <c r="D21" s="28"/>
      <c r="E21" s="30"/>
      <c r="F21" s="35"/>
      <c r="G21" s="29"/>
      <c r="H21" s="34"/>
      <c r="I21" s="29"/>
      <c r="J21" s="57"/>
      <c r="K21" s="58"/>
      <c r="L21" s="59"/>
      <c r="M21" s="58"/>
      <c r="N21" s="26" t="s">
        <v>52</v>
      </c>
      <c r="O21" s="60">
        <v>421</v>
      </c>
      <c r="P21" s="56">
        <v>668</v>
      </c>
      <c r="Q21" s="79">
        <v>317</v>
      </c>
      <c r="R21" s="76">
        <f t="shared" si="10"/>
        <v>0.752969121140142</v>
      </c>
      <c r="S21" s="77">
        <f t="shared" si="11"/>
        <v>-351</v>
      </c>
      <c r="T21" s="76">
        <f t="shared" si="8"/>
        <v>-0.525449101796407</v>
      </c>
      <c r="U21" s="78"/>
      <c r="V21" s="78"/>
      <c r="W21" s="78"/>
    </row>
    <row r="22" ht="22" customHeight="1" spans="1:23">
      <c r="A22" s="26" t="s">
        <v>53</v>
      </c>
      <c r="B22" s="30"/>
      <c r="C22" s="30"/>
      <c r="D22" s="28"/>
      <c r="E22" s="30"/>
      <c r="F22" s="31"/>
      <c r="G22" s="29"/>
      <c r="H22" s="30"/>
      <c r="I22" s="29"/>
      <c r="J22" s="57"/>
      <c r="K22" s="58"/>
      <c r="L22" s="59"/>
      <c r="M22" s="58"/>
      <c r="N22" s="26" t="s">
        <v>54</v>
      </c>
      <c r="O22" s="60">
        <v>0</v>
      </c>
      <c r="P22" s="62">
        <v>0</v>
      </c>
      <c r="Q22" s="27">
        <v>0</v>
      </c>
      <c r="R22" s="76" t="str">
        <f t="shared" si="10"/>
        <v/>
      </c>
      <c r="S22" s="77">
        <f t="shared" si="11"/>
        <v>0</v>
      </c>
      <c r="T22" s="76" t="str">
        <f t="shared" si="8"/>
        <v/>
      </c>
      <c r="U22" s="82"/>
      <c r="V22" s="78"/>
      <c r="W22" s="78"/>
    </row>
    <row r="23" ht="22" customHeight="1" spans="1:23">
      <c r="A23" s="26"/>
      <c r="B23" s="27"/>
      <c r="C23" s="27"/>
      <c r="D23" s="28"/>
      <c r="E23" s="27"/>
      <c r="F23" s="28"/>
      <c r="G23" s="29"/>
      <c r="H23" s="27"/>
      <c r="I23" s="29"/>
      <c r="J23" s="57"/>
      <c r="K23" s="58"/>
      <c r="L23" s="59"/>
      <c r="M23" s="58"/>
      <c r="N23" s="26" t="s">
        <v>55</v>
      </c>
      <c r="O23" s="60">
        <v>0</v>
      </c>
      <c r="P23" s="62">
        <v>0</v>
      </c>
      <c r="Q23" s="27">
        <v>0</v>
      </c>
      <c r="R23" s="76" t="str">
        <f t="shared" si="10"/>
        <v/>
      </c>
      <c r="S23" s="81">
        <f t="shared" si="11"/>
        <v>0</v>
      </c>
      <c r="T23" s="76" t="str">
        <f t="shared" si="8"/>
        <v/>
      </c>
      <c r="U23" s="78"/>
      <c r="V23" s="78"/>
      <c r="W23" s="78"/>
    </row>
    <row r="24" ht="22" customHeight="1" spans="1:23">
      <c r="A24" s="25" t="s">
        <v>56</v>
      </c>
      <c r="B24" s="22">
        <f t="shared" ref="B24:I24" si="15">SUM(B25:B31)</f>
        <v>33434.6666666666</v>
      </c>
      <c r="C24" s="22">
        <f t="shared" si="15"/>
        <v>26464</v>
      </c>
      <c r="D24" s="23">
        <f t="shared" si="15"/>
        <v>40926</v>
      </c>
      <c r="E24" s="22">
        <f t="shared" si="15"/>
        <v>31574</v>
      </c>
      <c r="F24" s="23">
        <f t="shared" si="15"/>
        <v>35898</v>
      </c>
      <c r="G24" s="24">
        <f t="shared" si="2"/>
        <v>1.07367602488435</v>
      </c>
      <c r="H24" s="22">
        <f t="shared" si="15"/>
        <v>27041</v>
      </c>
      <c r="I24" s="24">
        <f t="shared" si="3"/>
        <v>1.02180320435308</v>
      </c>
      <c r="J24" s="52">
        <f t="shared" si="4"/>
        <v>-5028</v>
      </c>
      <c r="K24" s="53">
        <f t="shared" si="5"/>
        <v>-0.12285588623369</v>
      </c>
      <c r="L24" s="54">
        <f t="shared" si="6"/>
        <v>-4533</v>
      </c>
      <c r="M24" s="53">
        <f t="shared" si="7"/>
        <v>-0.143567492240451</v>
      </c>
      <c r="N24" s="26" t="s">
        <v>57</v>
      </c>
      <c r="O24" s="60">
        <v>1335</v>
      </c>
      <c r="P24" s="56">
        <v>2350</v>
      </c>
      <c r="Q24" s="79">
        <v>827</v>
      </c>
      <c r="R24" s="76">
        <f t="shared" si="10"/>
        <v>0.619475655430712</v>
      </c>
      <c r="S24" s="77">
        <f t="shared" si="11"/>
        <v>-1523</v>
      </c>
      <c r="T24" s="76">
        <f t="shared" si="8"/>
        <v>-0.648085106382979</v>
      </c>
      <c r="U24" s="78"/>
      <c r="V24" s="78"/>
      <c r="W24" s="78"/>
    </row>
    <row r="25" ht="22" customHeight="1" spans="1:23">
      <c r="A25" s="36" t="s">
        <v>58</v>
      </c>
      <c r="B25" s="32">
        <f>C25</f>
        <v>3900</v>
      </c>
      <c r="C25" s="32">
        <v>3900</v>
      </c>
      <c r="D25" s="28">
        <f>E25+123+27-68</f>
        <v>2813</v>
      </c>
      <c r="E25" s="27">
        <v>2731</v>
      </c>
      <c r="F25" s="28">
        <f>H25+145+37-69</f>
        <v>4486</v>
      </c>
      <c r="G25" s="29">
        <f t="shared" si="2"/>
        <v>1.15025641025641</v>
      </c>
      <c r="H25" s="27">
        <v>4373</v>
      </c>
      <c r="I25" s="29">
        <f t="shared" si="3"/>
        <v>1.12128205128205</v>
      </c>
      <c r="J25" s="57">
        <f t="shared" si="4"/>
        <v>1673</v>
      </c>
      <c r="K25" s="58">
        <f t="shared" si="5"/>
        <v>0.594738713117668</v>
      </c>
      <c r="L25" s="59">
        <f t="shared" si="6"/>
        <v>1642</v>
      </c>
      <c r="M25" s="58">
        <f t="shared" si="7"/>
        <v>0.601244965214207</v>
      </c>
      <c r="N25" s="26" t="s">
        <v>59</v>
      </c>
      <c r="O25" s="61">
        <v>15102</v>
      </c>
      <c r="P25" s="56">
        <v>8944</v>
      </c>
      <c r="Q25" s="79">
        <v>10684</v>
      </c>
      <c r="R25" s="76">
        <f t="shared" si="10"/>
        <v>0.707455966097206</v>
      </c>
      <c r="S25" s="77">
        <f t="shared" si="11"/>
        <v>1740</v>
      </c>
      <c r="T25" s="76">
        <f t="shared" si="8"/>
        <v>0.194543828264758</v>
      </c>
      <c r="U25" s="78"/>
      <c r="V25" s="78"/>
      <c r="W25" s="78"/>
    </row>
    <row r="26" ht="22" customHeight="1" spans="1:23">
      <c r="A26" s="36" t="s">
        <v>60</v>
      </c>
      <c r="B26" s="32">
        <f>C26</f>
        <v>652</v>
      </c>
      <c r="C26" s="32">
        <v>652</v>
      </c>
      <c r="D26" s="28">
        <f>E26+589+84-547</f>
        <v>670</v>
      </c>
      <c r="E26" s="27">
        <v>544</v>
      </c>
      <c r="F26" s="37">
        <f>H26+164+120-119</f>
        <v>621</v>
      </c>
      <c r="G26" s="29">
        <f t="shared" si="2"/>
        <v>0.952453987730061</v>
      </c>
      <c r="H26" s="38">
        <v>456</v>
      </c>
      <c r="I26" s="29">
        <f t="shared" si="3"/>
        <v>0.699386503067485</v>
      </c>
      <c r="J26" s="57">
        <f t="shared" si="4"/>
        <v>-49</v>
      </c>
      <c r="K26" s="58">
        <f t="shared" si="5"/>
        <v>-0.073134328358209</v>
      </c>
      <c r="L26" s="59">
        <f t="shared" si="6"/>
        <v>-88</v>
      </c>
      <c r="M26" s="58">
        <f t="shared" si="7"/>
        <v>-0.161764705882353</v>
      </c>
      <c r="N26" s="26" t="s">
        <v>61</v>
      </c>
      <c r="O26" s="60">
        <v>83</v>
      </c>
      <c r="P26" s="56">
        <v>64</v>
      </c>
      <c r="Q26" s="79">
        <v>48</v>
      </c>
      <c r="R26" s="76">
        <f t="shared" si="10"/>
        <v>0.578313253012048</v>
      </c>
      <c r="S26" s="77">
        <f t="shared" si="11"/>
        <v>-16</v>
      </c>
      <c r="T26" s="76">
        <f t="shared" si="8"/>
        <v>-0.25</v>
      </c>
      <c r="U26" s="78"/>
      <c r="V26" s="78"/>
      <c r="W26" s="78"/>
    </row>
    <row r="27" ht="22" customHeight="1" spans="1:23">
      <c r="A27" s="36" t="s">
        <v>62</v>
      </c>
      <c r="B27" s="32">
        <f>C27/0.75</f>
        <v>2384</v>
      </c>
      <c r="C27" s="32">
        <v>1788</v>
      </c>
      <c r="D27" s="28">
        <f>E27+342+189</f>
        <v>2094</v>
      </c>
      <c r="E27" s="38">
        <v>1563</v>
      </c>
      <c r="F27" s="37">
        <f>H27+384+221</f>
        <v>2357</v>
      </c>
      <c r="G27" s="29">
        <f t="shared" si="2"/>
        <v>0.988674496644295</v>
      </c>
      <c r="H27" s="38">
        <v>1752</v>
      </c>
      <c r="I27" s="29">
        <f t="shared" si="3"/>
        <v>0.979865771812081</v>
      </c>
      <c r="J27" s="57">
        <f t="shared" si="4"/>
        <v>263</v>
      </c>
      <c r="K27" s="58">
        <f t="shared" si="5"/>
        <v>0.12559694364852</v>
      </c>
      <c r="L27" s="59">
        <f t="shared" si="6"/>
        <v>189</v>
      </c>
      <c r="M27" s="58">
        <f t="shared" si="7"/>
        <v>0.120921305182342</v>
      </c>
      <c r="N27" s="26" t="s">
        <v>63</v>
      </c>
      <c r="O27" s="60">
        <v>1695</v>
      </c>
      <c r="P27" s="62">
        <v>942</v>
      </c>
      <c r="Q27" s="27">
        <v>1750</v>
      </c>
      <c r="R27" s="76">
        <f t="shared" si="10"/>
        <v>1.03244837758112</v>
      </c>
      <c r="S27" s="81">
        <f t="shared" si="11"/>
        <v>808</v>
      </c>
      <c r="T27" s="76">
        <f t="shared" si="8"/>
        <v>0.857749469214437</v>
      </c>
      <c r="U27" s="78"/>
      <c r="V27" s="78"/>
      <c r="W27" s="78"/>
    </row>
    <row r="28" ht="22" customHeight="1" spans="1:23">
      <c r="A28" s="26" t="s">
        <v>64</v>
      </c>
      <c r="B28" s="32"/>
      <c r="C28" s="32"/>
      <c r="D28" s="28">
        <f t="shared" ref="D26:D34" si="16">E28</f>
        <v>0</v>
      </c>
      <c r="E28" s="27">
        <v>0</v>
      </c>
      <c r="F28" s="28"/>
      <c r="G28" s="29"/>
      <c r="H28" s="27"/>
      <c r="I28" s="29"/>
      <c r="J28" s="57">
        <f t="shared" si="4"/>
        <v>0</v>
      </c>
      <c r="K28" s="58"/>
      <c r="L28" s="59">
        <f t="shared" si="6"/>
        <v>0</v>
      </c>
      <c r="M28" s="58"/>
      <c r="N28" s="26" t="s">
        <v>65</v>
      </c>
      <c r="O28" s="60">
        <v>23815</v>
      </c>
      <c r="P28" s="56">
        <v>0</v>
      </c>
      <c r="Q28" s="30">
        <v>0</v>
      </c>
      <c r="R28" s="76" t="e">
        <f>IF(#REF!=0,"",Q28/#REF!)</f>
        <v>#REF!</v>
      </c>
      <c r="S28" s="81">
        <f t="shared" si="11"/>
        <v>0</v>
      </c>
      <c r="T28" s="76" t="str">
        <f t="shared" si="8"/>
        <v/>
      </c>
      <c r="U28" s="78"/>
      <c r="V28" s="78"/>
      <c r="W28" s="78"/>
    </row>
    <row r="29" ht="22" customHeight="1" spans="1:26">
      <c r="A29" s="26" t="s">
        <v>66</v>
      </c>
      <c r="B29" s="32">
        <f>C29/0.75</f>
        <v>25445.3333333333</v>
      </c>
      <c r="C29" s="32">
        <v>19084</v>
      </c>
      <c r="D29" s="28">
        <f>E29+7796+4328-3521</f>
        <v>34311</v>
      </c>
      <c r="E29" s="38">
        <v>25708</v>
      </c>
      <c r="F29" s="37">
        <f>H29+165831+2984-160375-488</f>
        <v>27396</v>
      </c>
      <c r="G29" s="29">
        <f t="shared" si="2"/>
        <v>1.07666107734228</v>
      </c>
      <c r="H29" s="38">
        <v>19444</v>
      </c>
      <c r="I29" s="29">
        <f t="shared" si="3"/>
        <v>1.01886396981765</v>
      </c>
      <c r="J29" s="57">
        <f t="shared" si="4"/>
        <v>-6915</v>
      </c>
      <c r="K29" s="58">
        <f t="shared" si="5"/>
        <v>-0.201538865086998</v>
      </c>
      <c r="L29" s="59">
        <f t="shared" si="6"/>
        <v>-6264</v>
      </c>
      <c r="M29" s="58">
        <f t="shared" si="7"/>
        <v>-0.243659561226077</v>
      </c>
      <c r="N29" s="26" t="s">
        <v>67</v>
      </c>
      <c r="O29" s="42">
        <v>17752</v>
      </c>
      <c r="P29" s="62">
        <v>13817</v>
      </c>
      <c r="Q29" s="79">
        <v>15611</v>
      </c>
      <c r="R29" s="76">
        <f>IF(O28=0,"",Q29/O28)</f>
        <v>0.655511232416544</v>
      </c>
      <c r="S29" s="77">
        <f t="shared" si="11"/>
        <v>1794</v>
      </c>
      <c r="T29" s="76">
        <f t="shared" si="8"/>
        <v>0.12984005210972</v>
      </c>
      <c r="U29" s="78"/>
      <c r="V29" s="78"/>
      <c r="W29" s="78"/>
      <c r="Z29" s="84"/>
    </row>
    <row r="30" ht="22" customHeight="1" spans="1:26">
      <c r="A30" s="26" t="s">
        <v>68</v>
      </c>
      <c r="B30" s="30">
        <f>C30</f>
        <v>1000</v>
      </c>
      <c r="C30" s="30">
        <v>1000</v>
      </c>
      <c r="D30" s="28">
        <f t="shared" si="16"/>
        <v>1000</v>
      </c>
      <c r="E30" s="27">
        <v>1000</v>
      </c>
      <c r="F30" s="39">
        <f>H30</f>
        <v>950</v>
      </c>
      <c r="G30" s="29"/>
      <c r="H30" s="40">
        <v>950</v>
      </c>
      <c r="I30" s="29"/>
      <c r="J30" s="57">
        <f t="shared" si="4"/>
        <v>-50</v>
      </c>
      <c r="K30" s="58"/>
      <c r="L30" s="59">
        <f t="shared" si="6"/>
        <v>-50</v>
      </c>
      <c r="M30" s="58"/>
      <c r="N30" s="26" t="s">
        <v>69</v>
      </c>
      <c r="O30" s="42">
        <v>70</v>
      </c>
      <c r="P30" s="56">
        <v>20</v>
      </c>
      <c r="Q30" s="30">
        <v>30</v>
      </c>
      <c r="R30" s="76">
        <f>IF(O29=0,"",Q30/O29)</f>
        <v>0.00168995042812078</v>
      </c>
      <c r="S30" s="81">
        <f t="shared" si="11"/>
        <v>10</v>
      </c>
      <c r="T30" s="76">
        <f t="shared" si="8"/>
        <v>0.5</v>
      </c>
      <c r="U30" s="78"/>
      <c r="V30" s="78"/>
      <c r="W30" s="78"/>
      <c r="Z30" s="84"/>
    </row>
    <row r="31" ht="22" customHeight="1" spans="1:23">
      <c r="A31" s="26" t="s">
        <v>70</v>
      </c>
      <c r="B31" s="30">
        <f>C31/0.75</f>
        <v>53.3333333333333</v>
      </c>
      <c r="C31" s="30">
        <v>40</v>
      </c>
      <c r="D31" s="28">
        <f>E31+6+4</f>
        <v>38</v>
      </c>
      <c r="E31" s="27">
        <v>28</v>
      </c>
      <c r="F31" s="39">
        <f>H31+13+9</f>
        <v>88</v>
      </c>
      <c r="G31" s="29">
        <f t="shared" si="2"/>
        <v>1.65</v>
      </c>
      <c r="H31" s="40">
        <v>66</v>
      </c>
      <c r="I31" s="29">
        <f t="shared" si="3"/>
        <v>1.65</v>
      </c>
      <c r="J31" s="57">
        <f t="shared" si="4"/>
        <v>50</v>
      </c>
      <c r="K31" s="58">
        <f t="shared" si="5"/>
        <v>1.31578947368421</v>
      </c>
      <c r="L31" s="59">
        <f t="shared" si="6"/>
        <v>38</v>
      </c>
      <c r="M31" s="58">
        <f t="shared" si="7"/>
        <v>1.35714285714286</v>
      </c>
      <c r="N31" s="26" t="s">
        <v>71</v>
      </c>
      <c r="O31" s="63">
        <v>4400</v>
      </c>
      <c r="P31" s="30"/>
      <c r="Q31" s="30"/>
      <c r="R31" s="76">
        <f>IF(O30=0,"",Q31/O30)</f>
        <v>0</v>
      </c>
      <c r="S31" s="81">
        <f t="shared" si="11"/>
        <v>0</v>
      </c>
      <c r="T31" s="76" t="str">
        <f t="shared" si="8"/>
        <v/>
      </c>
      <c r="U31" s="78"/>
      <c r="V31" s="78"/>
      <c r="W31" s="78"/>
    </row>
    <row r="32" ht="22" customHeight="1" spans="1:23">
      <c r="A32" s="25" t="s">
        <v>72</v>
      </c>
      <c r="B32" s="30">
        <v>42456</v>
      </c>
      <c r="C32" s="30">
        <v>42456</v>
      </c>
      <c r="D32" s="28">
        <f t="shared" si="16"/>
        <v>8420</v>
      </c>
      <c r="E32" s="27">
        <v>8420</v>
      </c>
      <c r="F32" s="28">
        <f>H32</f>
        <v>15078</v>
      </c>
      <c r="G32" s="29">
        <f t="shared" si="2"/>
        <v>0.355144149236857</v>
      </c>
      <c r="H32" s="27">
        <v>15078</v>
      </c>
      <c r="I32" s="29">
        <f t="shared" si="3"/>
        <v>0.355144149236857</v>
      </c>
      <c r="J32" s="57">
        <f t="shared" si="4"/>
        <v>6658</v>
      </c>
      <c r="K32" s="58">
        <f t="shared" si="5"/>
        <v>0.790736342042755</v>
      </c>
      <c r="L32" s="59">
        <f t="shared" si="6"/>
        <v>6658</v>
      </c>
      <c r="M32" s="58">
        <f t="shared" si="7"/>
        <v>0.790736342042755</v>
      </c>
      <c r="N32" s="64"/>
      <c r="O32" s="42"/>
      <c r="P32" s="30"/>
      <c r="Q32" s="30"/>
      <c r="R32" s="76"/>
      <c r="S32" s="81">
        <f t="shared" si="11"/>
        <v>0</v>
      </c>
      <c r="T32" s="76" t="str">
        <f t="shared" si="8"/>
        <v/>
      </c>
      <c r="U32" s="78"/>
      <c r="V32" s="78"/>
      <c r="W32" s="78"/>
    </row>
    <row r="33" ht="22" customHeight="1" spans="1:23">
      <c r="A33" s="41" t="s">
        <v>73</v>
      </c>
      <c r="B33" s="42">
        <v>139</v>
      </c>
      <c r="C33" s="42">
        <v>139</v>
      </c>
      <c r="D33" s="28">
        <f t="shared" si="16"/>
        <v>24</v>
      </c>
      <c r="E33" s="27">
        <v>24</v>
      </c>
      <c r="F33" s="43">
        <f>H33</f>
        <v>94</v>
      </c>
      <c r="G33" s="29">
        <f t="shared" si="2"/>
        <v>0.676258992805755</v>
      </c>
      <c r="H33" s="27">
        <v>94</v>
      </c>
      <c r="I33" s="29">
        <f t="shared" si="3"/>
        <v>0.676258992805755</v>
      </c>
      <c r="J33" s="57">
        <f t="shared" si="4"/>
        <v>70</v>
      </c>
      <c r="K33" s="58">
        <f t="shared" si="5"/>
        <v>2.91666666666667</v>
      </c>
      <c r="L33" s="59">
        <f t="shared" si="6"/>
        <v>70</v>
      </c>
      <c r="M33" s="58">
        <f t="shared" si="7"/>
        <v>2.91666666666667</v>
      </c>
      <c r="N33" s="25" t="s">
        <v>74</v>
      </c>
      <c r="O33" s="65">
        <v>65118</v>
      </c>
      <c r="P33" s="32">
        <v>91074</v>
      </c>
      <c r="Q33" s="83">
        <v>62791</v>
      </c>
      <c r="R33" s="76">
        <f>IF(O33=0,"",Q33/O33)</f>
        <v>0.964264872999785</v>
      </c>
      <c r="S33" s="77">
        <f t="shared" si="11"/>
        <v>-28283</v>
      </c>
      <c r="T33" s="76">
        <f t="shared" si="8"/>
        <v>-0.310549662911479</v>
      </c>
      <c r="U33" s="78"/>
      <c r="V33" s="78"/>
      <c r="W33" s="78"/>
    </row>
    <row r="34" ht="22" customHeight="1" spans="1:23">
      <c r="A34" s="26"/>
      <c r="B34" s="44"/>
      <c r="C34" s="44"/>
      <c r="D34" s="28">
        <f t="shared" si="16"/>
        <v>0</v>
      </c>
      <c r="E34" s="38"/>
      <c r="F34" s="37"/>
      <c r="G34" s="29"/>
      <c r="H34" s="38"/>
      <c r="I34" s="29"/>
      <c r="J34" s="66"/>
      <c r="K34" s="29"/>
      <c r="L34" s="67"/>
      <c r="M34" s="29"/>
      <c r="N34" s="41" t="s">
        <v>75</v>
      </c>
      <c r="O34" s="68">
        <v>107</v>
      </c>
      <c r="P34" s="32">
        <v>165</v>
      </c>
      <c r="Q34" s="83">
        <v>6</v>
      </c>
      <c r="R34" s="76">
        <f>IF(O34=0,"",Q34/O34)</f>
        <v>0.0560747663551402</v>
      </c>
      <c r="S34" s="77">
        <f t="shared" si="11"/>
        <v>-159</v>
      </c>
      <c r="T34" s="76">
        <f t="shared" si="8"/>
        <v>-0.963636363636364</v>
      </c>
      <c r="U34" s="78"/>
      <c r="V34" s="78"/>
      <c r="W34" s="78"/>
    </row>
  </sheetData>
  <mergeCells count="13">
    <mergeCell ref="A1:T1"/>
    <mergeCell ref="F3:I3"/>
    <mergeCell ref="J3:M3"/>
    <mergeCell ref="Q3:R3"/>
    <mergeCell ref="S3:T3"/>
    <mergeCell ref="A3:A4"/>
    <mergeCell ref="B3:B4"/>
    <mergeCell ref="C3:C4"/>
    <mergeCell ref="D3:D4"/>
    <mergeCell ref="E3:E4"/>
    <mergeCell ref="N3:N4"/>
    <mergeCell ref="O3:O4"/>
    <mergeCell ref="P3:P4"/>
  </mergeCells>
  <printOptions horizontalCentered="1" verticalCentered="1"/>
  <pageMargins left="0.156944444444444" right="0" top="0" bottom="0.236111111111111" header="0.156944444444444" footer="0.0784722222222222"/>
  <pageSetup paperSize="9" scale="54" orientation="landscape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1111</cp:lastModifiedBy>
  <dcterms:created xsi:type="dcterms:W3CDTF">2010-01-29T11:10:00Z</dcterms:created>
  <cp:lastPrinted>2020-12-02T02:33:00Z</cp:lastPrinted>
  <dcterms:modified xsi:type="dcterms:W3CDTF">2026-11-04T09:39:28Z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1920D95783D24919AE50F836B838B8DA</vt:lpwstr>
  </property>
</Properties>
</file>